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C:\Users\Francisco\Desktop\LIMPEZA CONTRATAÇÃO GERAL\PLANILHAS EM BRANCO\"/>
    </mc:Choice>
  </mc:AlternateContent>
  <xr:revisionPtr revIDLastSave="0" documentId="13_ncr:1_{0DD4E90F-201B-4BBB-8148-782A2887AB26}" xr6:coauthVersionLast="46" xr6:coauthVersionMax="46" xr10:uidLastSave="{00000000-0000-0000-0000-000000000000}"/>
  <bookViews>
    <workbookView xWindow="-120" yWindow="-120" windowWidth="29040" windowHeight="15840" xr2:uid="{00000000-000D-0000-FFFF-FFFF00000000}"/>
  </bookViews>
  <sheets>
    <sheet name="Resumo síntetico" sheetId="1" r:id="rId1"/>
    <sheet name="Resumo dos valores" sheetId="2" r:id="rId2"/>
    <sheet name="Valor MensalM²" sheetId="3" r:id="rId3"/>
    <sheet name="Servente" sheetId="4" r:id="rId4"/>
    <sheet name="JAUZEIRO" sheetId="5" r:id="rId5"/>
    <sheet name="UNIFORME" sheetId="6" r:id="rId6"/>
    <sheet name="EQUIPAMENTOS JAUZEIRO" sheetId="7" r:id="rId7"/>
    <sheet name="MATERIAL_LIMPEZA CONSUMO" sheetId="8" r:id="rId8"/>
    <sheet name="MATERIAL_LIMPEZA EQUIPAMENTOS" sheetId="9" r:id="rId9"/>
    <sheet name="MATERIAL_LIMPEZA UTENSÍLIOS" sheetId="10" r:id="rId10"/>
    <sheet name="TOTAL área m² " sheetId="11" r:id="rId11"/>
    <sheet name="A.Reitoria" sheetId="12" r:id="rId12"/>
    <sheet name="A. DGBR" sheetId="13" r:id="rId13"/>
    <sheet name="A. DGCE" sheetId="14" r:id="rId14"/>
    <sheet name="A. DGES" sheetId="15" r:id="rId15"/>
    <sheet name="A. DGRE" sheetId="16" r:id="rId16"/>
    <sheet name="A. DGSS" sheetId="17" r:id="rId17"/>
  </sheets>
  <definedNames>
    <definedName name="Z_7A18F933_117B_4828_8643_1F67F11509EA_.wvu.FilterData" localSheetId="11" hidden="1">A.Reitoria!$A$1:$G$124</definedName>
  </definedNames>
  <calcPr calcId="191029"/>
  <customWorkbookViews>
    <customWorkbookView name="Filtro 1" guid="{7A18F933-117B-4828-8643-1F67F11509EA}"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4" i="17" l="1"/>
  <c r="F143" i="17"/>
  <c r="G143" i="17" s="1"/>
  <c r="F142" i="17"/>
  <c r="G142" i="17" s="1"/>
  <c r="G141" i="17"/>
  <c r="F141" i="17"/>
  <c r="G140" i="17"/>
  <c r="F140" i="17"/>
  <c r="G139" i="17"/>
  <c r="F139" i="17"/>
  <c r="F138" i="17"/>
  <c r="G138" i="17" s="1"/>
  <c r="G137" i="17"/>
  <c r="F137" i="17"/>
  <c r="G136" i="17"/>
  <c r="F136" i="17"/>
  <c r="G135" i="17"/>
  <c r="F135" i="17"/>
  <c r="F134" i="17"/>
  <c r="G134" i="17" s="1"/>
  <c r="G133" i="17"/>
  <c r="F133" i="17"/>
  <c r="G132" i="17"/>
  <c r="F132" i="17"/>
  <c r="G131" i="17"/>
  <c r="F131" i="17"/>
  <c r="F130" i="17"/>
  <c r="G130" i="17" s="1"/>
  <c r="G129" i="17"/>
  <c r="F129" i="17"/>
  <c r="G128" i="17"/>
  <c r="F128" i="17"/>
  <c r="G127" i="17"/>
  <c r="F127" i="17"/>
  <c r="F126" i="17"/>
  <c r="G126" i="17" s="1"/>
  <c r="G125" i="17"/>
  <c r="F125" i="17"/>
  <c r="G124" i="17"/>
  <c r="F124" i="17"/>
  <c r="F123" i="17"/>
  <c r="G123" i="17" s="1"/>
  <c r="F122" i="17"/>
  <c r="G122" i="17" s="1"/>
  <c r="G121" i="17"/>
  <c r="F121" i="17"/>
  <c r="G120" i="17"/>
  <c r="F120" i="17"/>
  <c r="F119" i="17"/>
  <c r="G119" i="17" s="1"/>
  <c r="F118" i="17"/>
  <c r="G118" i="17" s="1"/>
  <c r="G117" i="17"/>
  <c r="F117" i="17"/>
  <c r="F116" i="17"/>
  <c r="G116" i="17" s="1"/>
  <c r="F115" i="17"/>
  <c r="G115" i="17" s="1"/>
  <c r="F114" i="17"/>
  <c r="G114" i="17" s="1"/>
  <c r="G113" i="17"/>
  <c r="F113" i="17"/>
  <c r="F112" i="17"/>
  <c r="G112" i="17" s="1"/>
  <c r="F111" i="17"/>
  <c r="G111" i="17" s="1"/>
  <c r="F110" i="17"/>
  <c r="G110" i="17" s="1"/>
  <c r="G109" i="17"/>
  <c r="F109" i="17"/>
  <c r="F108" i="17"/>
  <c r="G108" i="17" s="1"/>
  <c r="F107" i="17"/>
  <c r="G107" i="17" s="1"/>
  <c r="G106" i="17"/>
  <c r="F106" i="17"/>
  <c r="G105" i="17"/>
  <c r="F105" i="17"/>
  <c r="F104" i="17"/>
  <c r="G104" i="17" s="1"/>
  <c r="F103" i="17"/>
  <c r="G103" i="17" s="1"/>
  <c r="F102" i="17"/>
  <c r="G102" i="17" s="1"/>
  <c r="G101" i="17"/>
  <c r="F101" i="17"/>
  <c r="F100" i="17"/>
  <c r="G100" i="17" s="1"/>
  <c r="F99" i="17"/>
  <c r="G99" i="17" s="1"/>
  <c r="F98" i="17"/>
  <c r="G98" i="17" s="1"/>
  <c r="G97" i="17"/>
  <c r="F97" i="17"/>
  <c r="F96" i="17"/>
  <c r="G96" i="17" s="1"/>
  <c r="F95" i="17"/>
  <c r="G95" i="17" s="1"/>
  <c r="F94" i="17"/>
  <c r="G94" i="17" s="1"/>
  <c r="G93" i="17"/>
  <c r="F93" i="17"/>
  <c r="F92" i="17"/>
  <c r="G92" i="17" s="1"/>
  <c r="F91" i="17"/>
  <c r="G91" i="17" s="1"/>
  <c r="G90" i="17"/>
  <c r="F90" i="17"/>
  <c r="G89" i="17"/>
  <c r="F89" i="17"/>
  <c r="F88" i="17"/>
  <c r="G88" i="17" s="1"/>
  <c r="F87" i="17"/>
  <c r="G87" i="17" s="1"/>
  <c r="F86" i="17"/>
  <c r="G86" i="17" s="1"/>
  <c r="G85" i="17"/>
  <c r="F85" i="17"/>
  <c r="F84" i="17"/>
  <c r="G84" i="17" s="1"/>
  <c r="F83" i="17"/>
  <c r="G83" i="17" s="1"/>
  <c r="F82" i="17"/>
  <c r="G82" i="17" s="1"/>
  <c r="G81" i="17"/>
  <c r="F81" i="17"/>
  <c r="F80" i="17"/>
  <c r="F79" i="17"/>
  <c r="F78" i="17"/>
  <c r="F77" i="17"/>
  <c r="G77" i="17" s="1"/>
  <c r="F76" i="17"/>
  <c r="G75" i="17"/>
  <c r="F75" i="17"/>
  <c r="F74" i="17"/>
  <c r="G74" i="17" s="1"/>
  <c r="F73" i="17"/>
  <c r="G73" i="17" s="1"/>
  <c r="G72" i="17"/>
  <c r="F72" i="17"/>
  <c r="G71" i="17"/>
  <c r="F71" i="17"/>
  <c r="F70" i="17"/>
  <c r="G69" i="17"/>
  <c r="F69" i="17"/>
  <c r="F68" i="17"/>
  <c r="G68" i="17" s="1"/>
  <c r="G67" i="17"/>
  <c r="F67" i="17"/>
  <c r="G66" i="17"/>
  <c r="F66" i="17"/>
  <c r="G65" i="17"/>
  <c r="F65" i="17"/>
  <c r="F64" i="17"/>
  <c r="G64" i="17" s="1"/>
  <c r="G63" i="17"/>
  <c r="F63" i="17"/>
  <c r="G62" i="17"/>
  <c r="F62" i="17"/>
  <c r="G61" i="17"/>
  <c r="F61" i="17"/>
  <c r="F60" i="17"/>
  <c r="G60" i="17" s="1"/>
  <c r="G59" i="17"/>
  <c r="F59" i="17"/>
  <c r="G58" i="17"/>
  <c r="F58" i="17"/>
  <c r="G57" i="17"/>
  <c r="F57" i="17"/>
  <c r="F56" i="17"/>
  <c r="G56" i="17" s="1"/>
  <c r="G55" i="17"/>
  <c r="F55" i="17"/>
  <c r="G54" i="17"/>
  <c r="F54" i="17"/>
  <c r="G53" i="17"/>
  <c r="F53" i="17"/>
  <c r="F52" i="17"/>
  <c r="G52" i="17" s="1"/>
  <c r="G51" i="17"/>
  <c r="F51" i="17"/>
  <c r="G50" i="17"/>
  <c r="F50" i="17"/>
  <c r="F49" i="17"/>
  <c r="G49" i="17" s="1"/>
  <c r="P48" i="17"/>
  <c r="G48" i="17"/>
  <c r="F48" i="17"/>
  <c r="F47" i="17"/>
  <c r="G47" i="17" s="1"/>
  <c r="G46" i="17"/>
  <c r="F46" i="17"/>
  <c r="T45" i="17"/>
  <c r="S45" i="17"/>
  <c r="Q45" i="17"/>
  <c r="G45" i="17"/>
  <c r="F45" i="17"/>
  <c r="Q44" i="17"/>
  <c r="S44" i="17" s="1"/>
  <c r="G44" i="17"/>
  <c r="F44" i="17"/>
  <c r="Q43" i="17"/>
  <c r="F43" i="17"/>
  <c r="G43" i="17" s="1"/>
  <c r="T42" i="17"/>
  <c r="Q42" i="17"/>
  <c r="S41" i="17" s="1"/>
  <c r="G42" i="17"/>
  <c r="F42" i="17"/>
  <c r="Q41" i="17"/>
  <c r="F41" i="17"/>
  <c r="G41" i="17" s="1"/>
  <c r="T40" i="17"/>
  <c r="Q40" i="17"/>
  <c r="G40" i="17"/>
  <c r="F40" i="17"/>
  <c r="T39" i="17"/>
  <c r="Q39" i="17"/>
  <c r="F39" i="17"/>
  <c r="G39" i="17" s="1"/>
  <c r="Q38" i="17"/>
  <c r="T38" i="17" s="1"/>
  <c r="G38" i="17"/>
  <c r="F38" i="17"/>
  <c r="Q37" i="17"/>
  <c r="T37" i="17" s="1"/>
  <c r="F37" i="17"/>
  <c r="G37" i="17" s="1"/>
  <c r="Q36" i="17"/>
  <c r="G36" i="17"/>
  <c r="F36" i="17"/>
  <c r="T35" i="17"/>
  <c r="Q35" i="17"/>
  <c r="G35" i="17"/>
  <c r="F35" i="17"/>
  <c r="T34" i="17"/>
  <c r="Q34" i="17"/>
  <c r="F34" i="17"/>
  <c r="G34" i="17" s="1"/>
  <c r="Q33" i="17"/>
  <c r="T33" i="17" s="1"/>
  <c r="G33" i="17"/>
  <c r="F33" i="17"/>
  <c r="T32" i="17"/>
  <c r="Q32" i="17"/>
  <c r="F32" i="17"/>
  <c r="G32" i="17" s="1"/>
  <c r="Q31" i="17"/>
  <c r="T31" i="17" s="1"/>
  <c r="F31" i="17"/>
  <c r="G31" i="17" s="1"/>
  <c r="T30" i="17"/>
  <c r="Q30" i="17"/>
  <c r="F30" i="17"/>
  <c r="G30" i="17" s="1"/>
  <c r="Q29" i="17"/>
  <c r="T29" i="17" s="1"/>
  <c r="F29" i="17"/>
  <c r="G29" i="17" s="1"/>
  <c r="T28" i="17"/>
  <c r="Q28" i="17"/>
  <c r="G28" i="17"/>
  <c r="F28" i="17"/>
  <c r="F27" i="17"/>
  <c r="G27" i="17" s="1"/>
  <c r="F26" i="17"/>
  <c r="G26" i="17" s="1"/>
  <c r="G25" i="17"/>
  <c r="F25" i="17"/>
  <c r="G24" i="17"/>
  <c r="F24" i="17"/>
  <c r="F23" i="17"/>
  <c r="G23" i="17" s="1"/>
  <c r="G22" i="17"/>
  <c r="F22" i="17"/>
  <c r="S21" i="17"/>
  <c r="G21" i="17"/>
  <c r="F21" i="17"/>
  <c r="J20" i="17"/>
  <c r="G20" i="17"/>
  <c r="F20" i="17"/>
  <c r="M19" i="17"/>
  <c r="L19" i="17"/>
  <c r="G19" i="17"/>
  <c r="F19" i="17"/>
  <c r="L18" i="17"/>
  <c r="M18" i="17" s="1"/>
  <c r="F18" i="17"/>
  <c r="G18" i="17" s="1"/>
  <c r="M17" i="17"/>
  <c r="L17" i="17"/>
  <c r="G17" i="17"/>
  <c r="F17" i="17"/>
  <c r="L16" i="17"/>
  <c r="M16" i="17" s="1"/>
  <c r="F16" i="17"/>
  <c r="G16" i="17" s="1"/>
  <c r="T15" i="17"/>
  <c r="P15" i="17"/>
  <c r="M15" i="17"/>
  <c r="L15" i="17"/>
  <c r="F15" i="17"/>
  <c r="G15" i="17" s="1"/>
  <c r="T14" i="17"/>
  <c r="T41" i="17" s="1"/>
  <c r="L14" i="17"/>
  <c r="M14" i="17" s="1"/>
  <c r="G14" i="17"/>
  <c r="F14" i="17"/>
  <c r="T13" i="17"/>
  <c r="T44" i="17" s="1"/>
  <c r="L13" i="17"/>
  <c r="M13" i="17" s="1"/>
  <c r="F13" i="17"/>
  <c r="G13" i="17" s="1"/>
  <c r="M12" i="17"/>
  <c r="L12" i="17"/>
  <c r="G12" i="17"/>
  <c r="F12" i="17"/>
  <c r="L11" i="17"/>
  <c r="M11" i="17" s="1"/>
  <c r="F11" i="17"/>
  <c r="G11" i="17" s="1"/>
  <c r="M10" i="17"/>
  <c r="L10" i="17"/>
  <c r="G10" i="17"/>
  <c r="F10" i="17"/>
  <c r="L9" i="17"/>
  <c r="M9" i="17" s="1"/>
  <c r="F9" i="17"/>
  <c r="G9" i="17" s="1"/>
  <c r="M8" i="17"/>
  <c r="L8" i="17"/>
  <c r="G8" i="17"/>
  <c r="F8" i="17"/>
  <c r="P7" i="17"/>
  <c r="L7" i="17"/>
  <c r="M7" i="17" s="1"/>
  <c r="G7" i="17"/>
  <c r="F7" i="17"/>
  <c r="T6" i="17"/>
  <c r="T43" i="17" s="1"/>
  <c r="M6" i="17"/>
  <c r="L6" i="17"/>
  <c r="F6" i="17"/>
  <c r="G6" i="17" s="1"/>
  <c r="L5" i="17"/>
  <c r="M5" i="17" s="1"/>
  <c r="G5" i="17"/>
  <c r="F5" i="17"/>
  <c r="T4" i="17"/>
  <c r="T7" i="17" s="1"/>
  <c r="L4" i="17"/>
  <c r="M4" i="17" s="1"/>
  <c r="F4" i="17"/>
  <c r="G4" i="17" s="1"/>
  <c r="D81" i="16"/>
  <c r="G80" i="16"/>
  <c r="F80" i="16"/>
  <c r="F79" i="16"/>
  <c r="G79" i="16" s="1"/>
  <c r="F78" i="16"/>
  <c r="G78" i="16" s="1"/>
  <c r="G77" i="16"/>
  <c r="F77" i="16"/>
  <c r="F76" i="16"/>
  <c r="G76" i="16" s="1"/>
  <c r="F75" i="16"/>
  <c r="G75" i="16" s="1"/>
  <c r="F74" i="16"/>
  <c r="G74" i="16" s="1"/>
  <c r="G73" i="16"/>
  <c r="F73" i="16"/>
  <c r="F72" i="16"/>
  <c r="G72" i="16" s="1"/>
  <c r="F71" i="16"/>
  <c r="G71" i="16" s="1"/>
  <c r="F70" i="16"/>
  <c r="G70" i="16" s="1"/>
  <c r="G69" i="16"/>
  <c r="F69" i="16"/>
  <c r="F68" i="16"/>
  <c r="G68" i="16" s="1"/>
  <c r="F67" i="16"/>
  <c r="G67" i="16" s="1"/>
  <c r="G66" i="16"/>
  <c r="F66" i="16"/>
  <c r="G65" i="16"/>
  <c r="F65" i="16"/>
  <c r="F64" i="16"/>
  <c r="G64" i="16" s="1"/>
  <c r="F63" i="16"/>
  <c r="G63" i="16" s="1"/>
  <c r="F62" i="16"/>
  <c r="G62" i="16" s="1"/>
  <c r="G61" i="16"/>
  <c r="F61" i="16"/>
  <c r="F60" i="16"/>
  <c r="G60" i="16" s="1"/>
  <c r="F59" i="16"/>
  <c r="G59" i="16" s="1"/>
  <c r="F58" i="16"/>
  <c r="G58" i="16" s="1"/>
  <c r="G57" i="16"/>
  <c r="F57" i="16"/>
  <c r="F56" i="16"/>
  <c r="G56" i="16" s="1"/>
  <c r="F55" i="16"/>
  <c r="G55" i="16" s="1"/>
  <c r="F54" i="16"/>
  <c r="G54" i="16" s="1"/>
  <c r="G53" i="16"/>
  <c r="F53" i="16"/>
  <c r="F52" i="16"/>
  <c r="G52" i="16" s="1"/>
  <c r="F51" i="16"/>
  <c r="G51" i="16" s="1"/>
  <c r="G50" i="16"/>
  <c r="F50" i="16"/>
  <c r="G49" i="16"/>
  <c r="F49" i="16"/>
  <c r="F48" i="16"/>
  <c r="G48" i="16" s="1"/>
  <c r="F47" i="16"/>
  <c r="G47" i="16" s="1"/>
  <c r="F46" i="16"/>
  <c r="G46" i="16" s="1"/>
  <c r="Q45" i="16"/>
  <c r="F45" i="16"/>
  <c r="G45" i="16" s="1"/>
  <c r="Q44" i="16"/>
  <c r="S44" i="16" s="1"/>
  <c r="F44" i="16"/>
  <c r="G44" i="16" s="1"/>
  <c r="T43" i="16"/>
  <c r="Q43" i="16"/>
  <c r="G43" i="16"/>
  <c r="F43" i="16"/>
  <c r="Q42" i="16"/>
  <c r="F42" i="16"/>
  <c r="G42" i="16" s="1"/>
  <c r="Q41" i="16"/>
  <c r="G41" i="16"/>
  <c r="F41" i="16"/>
  <c r="T40" i="16"/>
  <c r="Q40" i="16"/>
  <c r="F40" i="16"/>
  <c r="G40" i="16" s="1"/>
  <c r="Q39" i="16"/>
  <c r="S35" i="16" s="1"/>
  <c r="G39" i="16"/>
  <c r="F39" i="16"/>
  <c r="Q38" i="16"/>
  <c r="T38" i="16" s="1"/>
  <c r="F38" i="16"/>
  <c r="G38" i="16" s="1"/>
  <c r="T37" i="16"/>
  <c r="Q37" i="16"/>
  <c r="G37" i="16"/>
  <c r="F37" i="16"/>
  <c r="Q36" i="16"/>
  <c r="T36" i="16" s="1"/>
  <c r="G36" i="16"/>
  <c r="F36" i="16"/>
  <c r="T35" i="16"/>
  <c r="Q35" i="16"/>
  <c r="G35" i="16"/>
  <c r="F35" i="16"/>
  <c r="Q34" i="16"/>
  <c r="T34" i="16" s="1"/>
  <c r="F34" i="16"/>
  <c r="G34" i="16" s="1"/>
  <c r="T33" i="16"/>
  <c r="Q33" i="16"/>
  <c r="F33" i="16"/>
  <c r="G33" i="16" s="1"/>
  <c r="Q32" i="16"/>
  <c r="T32" i="16" s="1"/>
  <c r="G32" i="16"/>
  <c r="F32" i="16"/>
  <c r="Q31" i="16"/>
  <c r="T31" i="16" s="1"/>
  <c r="F31" i="16"/>
  <c r="G31" i="16" s="1"/>
  <c r="Q30" i="16"/>
  <c r="T30" i="16" s="1"/>
  <c r="F30" i="16"/>
  <c r="G30" i="16" s="1"/>
  <c r="T29" i="16"/>
  <c r="Q29" i="16"/>
  <c r="S28" i="16" s="1"/>
  <c r="F29" i="16"/>
  <c r="G29" i="16" s="1"/>
  <c r="Q28" i="16"/>
  <c r="T28" i="16" s="1"/>
  <c r="G28" i="16"/>
  <c r="F28" i="16"/>
  <c r="G27" i="16"/>
  <c r="F27" i="16"/>
  <c r="F26" i="16"/>
  <c r="G26" i="16" s="1"/>
  <c r="F25" i="16"/>
  <c r="G25" i="16" s="1"/>
  <c r="F24" i="16"/>
  <c r="G24" i="16" s="1"/>
  <c r="G23" i="16"/>
  <c r="F23" i="16"/>
  <c r="F22" i="16"/>
  <c r="G22" i="16" s="1"/>
  <c r="S21" i="16"/>
  <c r="F21" i="16"/>
  <c r="G21" i="16" s="1"/>
  <c r="F20" i="16"/>
  <c r="G20" i="16" s="1"/>
  <c r="F19" i="16"/>
  <c r="G19" i="16" s="1"/>
  <c r="F18" i="16"/>
  <c r="G18" i="16" s="1"/>
  <c r="G17" i="16"/>
  <c r="F17" i="16"/>
  <c r="F16" i="16"/>
  <c r="G16" i="16" s="1"/>
  <c r="P15" i="16"/>
  <c r="J15" i="16"/>
  <c r="F15" i="16"/>
  <c r="G15" i="16" s="1"/>
  <c r="T14" i="16"/>
  <c r="T41" i="16" s="1"/>
  <c r="M14" i="16"/>
  <c r="L14" i="16"/>
  <c r="F14" i="16"/>
  <c r="G14" i="16" s="1"/>
  <c r="T13" i="16"/>
  <c r="M13" i="16"/>
  <c r="L13" i="16"/>
  <c r="F13" i="16"/>
  <c r="G13" i="16" s="1"/>
  <c r="L12" i="16"/>
  <c r="M12" i="16" s="1"/>
  <c r="F12" i="16"/>
  <c r="G12" i="16" s="1"/>
  <c r="M11" i="16"/>
  <c r="L11" i="16"/>
  <c r="G11" i="16"/>
  <c r="F11" i="16"/>
  <c r="L10" i="16"/>
  <c r="M10" i="16" s="1"/>
  <c r="F10" i="16"/>
  <c r="G10" i="16" s="1"/>
  <c r="M9" i="16"/>
  <c r="L9" i="16"/>
  <c r="G9" i="16"/>
  <c r="F9" i="16"/>
  <c r="L8" i="16"/>
  <c r="M8" i="16" s="1"/>
  <c r="F8" i="16"/>
  <c r="G8" i="16" s="1"/>
  <c r="T7" i="16"/>
  <c r="P7" i="16"/>
  <c r="M7" i="16"/>
  <c r="L7" i="16"/>
  <c r="F7" i="16"/>
  <c r="G7" i="16" s="1"/>
  <c r="T6" i="16"/>
  <c r="M6" i="16"/>
  <c r="L6" i="16"/>
  <c r="F6" i="16"/>
  <c r="G6" i="16" s="1"/>
  <c r="M5" i="16"/>
  <c r="L5" i="16"/>
  <c r="F5" i="16"/>
  <c r="G5" i="16" s="1"/>
  <c r="T4" i="16"/>
  <c r="T42" i="16" s="1"/>
  <c r="M4" i="16"/>
  <c r="L4" i="16"/>
  <c r="F4" i="16"/>
  <c r="G4" i="16" s="1"/>
  <c r="D120" i="15"/>
  <c r="F119" i="15"/>
  <c r="G119" i="15" s="1"/>
  <c r="F118" i="15"/>
  <c r="G118" i="15" s="1"/>
  <c r="G117" i="15"/>
  <c r="F117" i="15"/>
  <c r="F116" i="15"/>
  <c r="G116" i="15" s="1"/>
  <c r="F115" i="15"/>
  <c r="G115" i="15" s="1"/>
  <c r="G114" i="15"/>
  <c r="F114" i="15"/>
  <c r="F113" i="15"/>
  <c r="G113" i="15" s="1"/>
  <c r="F112" i="15"/>
  <c r="G112" i="15" s="1"/>
  <c r="F111" i="15"/>
  <c r="G111" i="15" s="1"/>
  <c r="F110" i="15"/>
  <c r="G110" i="15" s="1"/>
  <c r="G109" i="15"/>
  <c r="F109" i="15"/>
  <c r="F108" i="15"/>
  <c r="G108" i="15" s="1"/>
  <c r="F107" i="15"/>
  <c r="G107" i="15" s="1"/>
  <c r="G106" i="15"/>
  <c r="F106" i="15"/>
  <c r="F105" i="15"/>
  <c r="G105" i="15" s="1"/>
  <c r="F104" i="15"/>
  <c r="G104" i="15" s="1"/>
  <c r="F103" i="15"/>
  <c r="G103" i="15" s="1"/>
  <c r="F102" i="15"/>
  <c r="G102" i="15" s="1"/>
  <c r="G101" i="15"/>
  <c r="F101" i="15"/>
  <c r="F100" i="15"/>
  <c r="G100" i="15" s="1"/>
  <c r="F99" i="15"/>
  <c r="G99" i="15" s="1"/>
  <c r="G98" i="15"/>
  <c r="F98" i="15"/>
  <c r="F97" i="15"/>
  <c r="G97" i="15" s="1"/>
  <c r="F96" i="15"/>
  <c r="G96" i="15" s="1"/>
  <c r="F95" i="15"/>
  <c r="G95" i="15" s="1"/>
  <c r="F94" i="15"/>
  <c r="G94" i="15" s="1"/>
  <c r="G93" i="15"/>
  <c r="F93" i="15"/>
  <c r="F92" i="15"/>
  <c r="G92" i="15" s="1"/>
  <c r="F91" i="15"/>
  <c r="G91" i="15" s="1"/>
  <c r="G90" i="15"/>
  <c r="F90" i="15"/>
  <c r="F89" i="15"/>
  <c r="G89" i="15" s="1"/>
  <c r="F88" i="15"/>
  <c r="G88" i="15" s="1"/>
  <c r="F87" i="15"/>
  <c r="G87" i="15" s="1"/>
  <c r="F86" i="15"/>
  <c r="G86" i="15" s="1"/>
  <c r="G85" i="15"/>
  <c r="F85" i="15"/>
  <c r="F84" i="15"/>
  <c r="G84" i="15" s="1"/>
  <c r="F83" i="15"/>
  <c r="G83" i="15" s="1"/>
  <c r="G82" i="15"/>
  <c r="F82" i="15"/>
  <c r="F81" i="15"/>
  <c r="G81" i="15" s="1"/>
  <c r="F80" i="15"/>
  <c r="G80" i="15" s="1"/>
  <c r="F79" i="15"/>
  <c r="G79" i="15" s="1"/>
  <c r="F78" i="15"/>
  <c r="G78" i="15" s="1"/>
  <c r="F77" i="15"/>
  <c r="F76" i="15"/>
  <c r="F75" i="15"/>
  <c r="G75" i="15" s="1"/>
  <c r="F74" i="15"/>
  <c r="G73" i="15"/>
  <c r="F73" i="15"/>
  <c r="F72" i="15"/>
  <c r="G72" i="15" s="1"/>
  <c r="G71" i="15"/>
  <c r="F71" i="15"/>
  <c r="G70" i="15"/>
  <c r="F70" i="15"/>
  <c r="G69" i="15"/>
  <c r="F69" i="15"/>
  <c r="F68" i="15"/>
  <c r="F67" i="15"/>
  <c r="G66" i="15"/>
  <c r="F66" i="15"/>
  <c r="G65" i="15"/>
  <c r="F65" i="15"/>
  <c r="G64" i="15"/>
  <c r="F64" i="15"/>
  <c r="F63" i="15"/>
  <c r="G63" i="15" s="1"/>
  <c r="G62" i="15"/>
  <c r="F62" i="15"/>
  <c r="G61" i="15"/>
  <c r="F61" i="15"/>
  <c r="G60" i="15"/>
  <c r="F60" i="15"/>
  <c r="F59" i="15"/>
  <c r="G59" i="15" s="1"/>
  <c r="G58" i="15"/>
  <c r="F58" i="15"/>
  <c r="G57" i="15"/>
  <c r="F57" i="15"/>
  <c r="G56" i="15"/>
  <c r="F56" i="15"/>
  <c r="F55" i="15"/>
  <c r="G55" i="15" s="1"/>
  <c r="F54" i="15"/>
  <c r="G54" i="15" s="1"/>
  <c r="P53" i="15"/>
  <c r="F53" i="15"/>
  <c r="G53" i="15" s="1"/>
  <c r="F52" i="15"/>
  <c r="G52" i="15" s="1"/>
  <c r="F51" i="15"/>
  <c r="G51" i="15" s="1"/>
  <c r="T50" i="15"/>
  <c r="Q50" i="15"/>
  <c r="S50" i="15" s="1"/>
  <c r="G50" i="15"/>
  <c r="F50" i="15"/>
  <c r="Q49" i="15"/>
  <c r="S49" i="15" s="1"/>
  <c r="F49" i="15"/>
  <c r="G49" i="15" s="1"/>
  <c r="Q48" i="15"/>
  <c r="F48" i="15"/>
  <c r="G48" i="15" s="1"/>
  <c r="Q47" i="15"/>
  <c r="G47" i="15"/>
  <c r="F47" i="15"/>
  <c r="T46" i="15"/>
  <c r="S46" i="15"/>
  <c r="Q46" i="15"/>
  <c r="G46" i="15"/>
  <c r="F46" i="15"/>
  <c r="Q45" i="15"/>
  <c r="T45" i="15" s="1"/>
  <c r="F45" i="15"/>
  <c r="G45" i="15" s="1"/>
  <c r="T44" i="15"/>
  <c r="Q44" i="15"/>
  <c r="G44" i="15"/>
  <c r="F44" i="15"/>
  <c r="Q43" i="15"/>
  <c r="T43" i="15" s="1"/>
  <c r="F43" i="15"/>
  <c r="G43" i="15" s="1"/>
  <c r="T42" i="15"/>
  <c r="Q42" i="15"/>
  <c r="G42" i="15"/>
  <c r="F42" i="15"/>
  <c r="Q41" i="15"/>
  <c r="T41" i="15" s="1"/>
  <c r="F41" i="15"/>
  <c r="G41" i="15" s="1"/>
  <c r="T40" i="15"/>
  <c r="Q40" i="15"/>
  <c r="F40" i="15"/>
  <c r="G40" i="15" s="1"/>
  <c r="Q39" i="15"/>
  <c r="T39" i="15" s="1"/>
  <c r="G39" i="15"/>
  <c r="F39" i="15"/>
  <c r="Q38" i="15"/>
  <c r="T38" i="15" s="1"/>
  <c r="F38" i="15"/>
  <c r="G38" i="15" s="1"/>
  <c r="Q37" i="15"/>
  <c r="T37" i="15" s="1"/>
  <c r="F37" i="15"/>
  <c r="G37" i="15" s="1"/>
  <c r="Q36" i="15"/>
  <c r="T36" i="15" s="1"/>
  <c r="F36" i="15"/>
  <c r="G36" i="15" s="1"/>
  <c r="Q35" i="15"/>
  <c r="T35" i="15" s="1"/>
  <c r="F35" i="15"/>
  <c r="G35" i="15" s="1"/>
  <c r="Q34" i="15"/>
  <c r="T34" i="15" s="1"/>
  <c r="F34" i="15"/>
  <c r="G34" i="15" s="1"/>
  <c r="Q33" i="15"/>
  <c r="T33" i="15" s="1"/>
  <c r="G33" i="15"/>
  <c r="F33" i="15"/>
  <c r="G32" i="15"/>
  <c r="F32" i="15"/>
  <c r="F31" i="15"/>
  <c r="G31" i="15" s="1"/>
  <c r="F30" i="15"/>
  <c r="G30" i="15" s="1"/>
  <c r="G29" i="15"/>
  <c r="F29" i="15"/>
  <c r="G28" i="15"/>
  <c r="F28" i="15"/>
  <c r="F27" i="15"/>
  <c r="G27" i="15" s="1"/>
  <c r="F26" i="15"/>
  <c r="G26" i="15" s="1"/>
  <c r="G25" i="15"/>
  <c r="F25" i="15"/>
  <c r="S24" i="15"/>
  <c r="F24" i="15"/>
  <c r="G24" i="15" s="1"/>
  <c r="F23" i="15"/>
  <c r="G23" i="15" s="1"/>
  <c r="F22" i="15"/>
  <c r="G22" i="15" s="1"/>
  <c r="F21" i="15"/>
  <c r="G21" i="15" s="1"/>
  <c r="J20" i="15"/>
  <c r="F20" i="15"/>
  <c r="G20" i="15" s="1"/>
  <c r="L19" i="15"/>
  <c r="M19" i="15" s="1"/>
  <c r="F19" i="15"/>
  <c r="G19" i="15" s="1"/>
  <c r="P18" i="15"/>
  <c r="M18" i="15"/>
  <c r="L18" i="15"/>
  <c r="F18" i="15"/>
  <c r="G18" i="15" s="1"/>
  <c r="T17" i="15"/>
  <c r="M17" i="15"/>
  <c r="L17" i="15"/>
  <c r="F17" i="15"/>
  <c r="G17" i="15" s="1"/>
  <c r="T16" i="15"/>
  <c r="L16" i="15"/>
  <c r="M16" i="15" s="1"/>
  <c r="F16" i="15"/>
  <c r="G16" i="15" s="1"/>
  <c r="L15" i="15"/>
  <c r="F15" i="15"/>
  <c r="G15" i="15" s="1"/>
  <c r="M14" i="15"/>
  <c r="L14" i="15"/>
  <c r="G14" i="15"/>
  <c r="F14" i="15"/>
  <c r="M13" i="15"/>
  <c r="L13" i="15"/>
  <c r="F13" i="15"/>
  <c r="G13" i="15" s="1"/>
  <c r="M12" i="15"/>
  <c r="L12" i="15"/>
  <c r="G12" i="15"/>
  <c r="F12" i="15"/>
  <c r="M11" i="15"/>
  <c r="L11" i="15"/>
  <c r="F11" i="15"/>
  <c r="G11" i="15" s="1"/>
  <c r="M10" i="15"/>
  <c r="L10" i="15"/>
  <c r="G10" i="15"/>
  <c r="F10" i="15"/>
  <c r="M9" i="15"/>
  <c r="L9" i="15"/>
  <c r="F9" i="15"/>
  <c r="G9" i="15" s="1"/>
  <c r="M8" i="15"/>
  <c r="L8" i="15"/>
  <c r="G8" i="15"/>
  <c r="F8" i="15"/>
  <c r="P7" i="15"/>
  <c r="L7" i="15"/>
  <c r="M7" i="15" s="1"/>
  <c r="G7" i="15"/>
  <c r="F7" i="15"/>
  <c r="T6" i="15"/>
  <c r="T48" i="15" s="1"/>
  <c r="L6" i="15"/>
  <c r="M6" i="15" s="1"/>
  <c r="F6" i="15"/>
  <c r="G6" i="15" s="1"/>
  <c r="L5" i="15"/>
  <c r="M5" i="15" s="1"/>
  <c r="G5" i="15"/>
  <c r="F5" i="15"/>
  <c r="T4" i="15"/>
  <c r="T47" i="15" s="1"/>
  <c r="M4" i="15"/>
  <c r="L4" i="15"/>
  <c r="G4" i="15"/>
  <c r="F4" i="15"/>
  <c r="D122" i="14"/>
  <c r="F121" i="14"/>
  <c r="G121" i="14" s="1"/>
  <c r="G120" i="14"/>
  <c r="F120" i="14"/>
  <c r="F119" i="14"/>
  <c r="F118" i="14"/>
  <c r="G118" i="14" s="1"/>
  <c r="G117" i="14"/>
  <c r="F117" i="14"/>
  <c r="F116" i="14"/>
  <c r="G116" i="14" s="1"/>
  <c r="F115" i="14"/>
  <c r="G115" i="14" s="1"/>
  <c r="G114" i="14"/>
  <c r="F114" i="14"/>
  <c r="F113" i="14"/>
  <c r="G113" i="14" s="1"/>
  <c r="F112" i="14"/>
  <c r="G112" i="14" s="1"/>
  <c r="F111" i="14"/>
  <c r="G111" i="14" s="1"/>
  <c r="F110" i="14"/>
  <c r="G110" i="14" s="1"/>
  <c r="F109" i="14"/>
  <c r="G109" i="14" s="1"/>
  <c r="F108" i="14"/>
  <c r="F107" i="14"/>
  <c r="F106" i="14"/>
  <c r="G106" i="14" s="1"/>
  <c r="F105" i="14"/>
  <c r="G105" i="14" s="1"/>
  <c r="G104" i="14"/>
  <c r="F104" i="14"/>
  <c r="F103" i="14"/>
  <c r="G103" i="14" s="1"/>
  <c r="F102" i="14"/>
  <c r="G102" i="14" s="1"/>
  <c r="F101" i="14"/>
  <c r="G101" i="14" s="1"/>
  <c r="F100" i="14"/>
  <c r="G100" i="14" s="1"/>
  <c r="F99" i="14"/>
  <c r="G99" i="14" s="1"/>
  <c r="F98" i="14"/>
  <c r="G98" i="14" s="1"/>
  <c r="F97" i="14"/>
  <c r="G97" i="14" s="1"/>
  <c r="G96" i="14"/>
  <c r="F96" i="14"/>
  <c r="G95" i="14"/>
  <c r="F95" i="14"/>
  <c r="F94" i="14"/>
  <c r="G94" i="14" s="1"/>
  <c r="G93" i="14"/>
  <c r="F93" i="14"/>
  <c r="F92" i="14"/>
  <c r="G92" i="14" s="1"/>
  <c r="F91" i="14"/>
  <c r="G91" i="14" s="1"/>
  <c r="F90" i="14"/>
  <c r="G90" i="14" s="1"/>
  <c r="F89" i="14"/>
  <c r="G89" i="14" s="1"/>
  <c r="F88" i="14"/>
  <c r="G88" i="14" s="1"/>
  <c r="G87" i="14"/>
  <c r="F87" i="14"/>
  <c r="F86" i="14"/>
  <c r="G86" i="14" s="1"/>
  <c r="F85" i="14"/>
  <c r="G85" i="14" s="1"/>
  <c r="G84" i="14"/>
  <c r="F84" i="14"/>
  <c r="F83" i="14"/>
  <c r="G83" i="14" s="1"/>
  <c r="F82" i="14"/>
  <c r="G82" i="14" s="1"/>
  <c r="G81" i="14"/>
  <c r="F81" i="14"/>
  <c r="F80" i="14"/>
  <c r="G80" i="14" s="1"/>
  <c r="F79" i="14"/>
  <c r="G79" i="14" s="1"/>
  <c r="F78" i="14"/>
  <c r="G78" i="14" s="1"/>
  <c r="F77" i="14"/>
  <c r="G77" i="14" s="1"/>
  <c r="F76" i="14"/>
  <c r="G76" i="14" s="1"/>
  <c r="G75" i="14"/>
  <c r="F75" i="14"/>
  <c r="F74" i="14"/>
  <c r="G74" i="14" s="1"/>
  <c r="G73" i="14"/>
  <c r="F73" i="14"/>
  <c r="G72" i="14"/>
  <c r="F72" i="14"/>
  <c r="F71" i="14"/>
  <c r="G71" i="14" s="1"/>
  <c r="F70" i="14"/>
  <c r="G70" i="14" s="1"/>
  <c r="F69" i="14"/>
  <c r="G69" i="14" s="1"/>
  <c r="F68" i="14"/>
  <c r="G68" i="14" s="1"/>
  <c r="F67" i="14"/>
  <c r="G67" i="14" s="1"/>
  <c r="G66" i="14"/>
  <c r="F66" i="14"/>
  <c r="F65" i="14"/>
  <c r="G65" i="14" s="1"/>
  <c r="F64" i="14"/>
  <c r="G64" i="14" s="1"/>
  <c r="F63" i="14"/>
  <c r="G63" i="14" s="1"/>
  <c r="G62" i="14"/>
  <c r="F62" i="14"/>
  <c r="F61" i="14"/>
  <c r="G61" i="14" s="1"/>
  <c r="F60" i="14"/>
  <c r="G60" i="14" s="1"/>
  <c r="F59" i="14"/>
  <c r="G59" i="14" s="1"/>
  <c r="G58" i="14"/>
  <c r="F58" i="14"/>
  <c r="F57" i="14"/>
  <c r="G57" i="14" s="1"/>
  <c r="F56" i="14"/>
  <c r="G56" i="14" s="1"/>
  <c r="F55" i="14"/>
  <c r="G55" i="14" s="1"/>
  <c r="G54" i="14"/>
  <c r="F54" i="14"/>
  <c r="F53" i="14"/>
  <c r="G53" i="14" s="1"/>
  <c r="F52" i="14"/>
  <c r="G52" i="14" s="1"/>
  <c r="F51" i="14"/>
  <c r="G51" i="14" s="1"/>
  <c r="G50" i="14"/>
  <c r="F50" i="14"/>
  <c r="G49" i="14"/>
  <c r="F49" i="14"/>
  <c r="F48" i="14"/>
  <c r="G48" i="14" s="1"/>
  <c r="G47" i="14"/>
  <c r="F47" i="14"/>
  <c r="F46" i="14"/>
  <c r="G46" i="14" s="1"/>
  <c r="S45" i="14"/>
  <c r="Q45" i="14"/>
  <c r="T45" i="14" s="1"/>
  <c r="G45" i="14"/>
  <c r="F45" i="14"/>
  <c r="Q44" i="14"/>
  <c r="S44" i="14" s="1"/>
  <c r="F44" i="14"/>
  <c r="G44" i="14" s="1"/>
  <c r="Q43" i="14"/>
  <c r="F43" i="14"/>
  <c r="G43" i="14" s="1"/>
  <c r="Q42" i="14"/>
  <c r="S41" i="14" s="1"/>
  <c r="F42" i="14"/>
  <c r="G42" i="14" s="1"/>
  <c r="T41" i="14"/>
  <c r="Q41" i="14"/>
  <c r="G41" i="14"/>
  <c r="F41" i="14"/>
  <c r="T40" i="14"/>
  <c r="Q40" i="14"/>
  <c r="G40" i="14"/>
  <c r="F40" i="14"/>
  <c r="Q39" i="14"/>
  <c r="T39" i="14" s="1"/>
  <c r="G39" i="14"/>
  <c r="F39" i="14"/>
  <c r="T38" i="14"/>
  <c r="Q38" i="14"/>
  <c r="G38" i="14"/>
  <c r="F38" i="14"/>
  <c r="Q37" i="14"/>
  <c r="T37" i="14" s="1"/>
  <c r="G37" i="14"/>
  <c r="F37" i="14"/>
  <c r="T36" i="14"/>
  <c r="Q36" i="14"/>
  <c r="F36" i="14"/>
  <c r="G36" i="14" s="1"/>
  <c r="Q35" i="14"/>
  <c r="T35" i="14" s="1"/>
  <c r="F35" i="14"/>
  <c r="G35" i="14" s="1"/>
  <c r="Q34" i="14"/>
  <c r="T34" i="14" s="1"/>
  <c r="G34" i="14"/>
  <c r="F34" i="14"/>
  <c r="Q33" i="14"/>
  <c r="T33" i="14" s="1"/>
  <c r="F33" i="14"/>
  <c r="G33" i="14" s="1"/>
  <c r="Q32" i="14"/>
  <c r="T32" i="14" s="1"/>
  <c r="G32" i="14"/>
  <c r="F32" i="14"/>
  <c r="Q31" i="14"/>
  <c r="T31" i="14" s="1"/>
  <c r="F31" i="14"/>
  <c r="G31" i="14" s="1"/>
  <c r="Q30" i="14"/>
  <c r="T30" i="14" s="1"/>
  <c r="G30" i="14"/>
  <c r="F30" i="14"/>
  <c r="Q29" i="14"/>
  <c r="T29" i="14" s="1"/>
  <c r="F29" i="14"/>
  <c r="G29" i="14" s="1"/>
  <c r="Q28" i="14"/>
  <c r="T28" i="14" s="1"/>
  <c r="F28" i="14"/>
  <c r="G28" i="14" s="1"/>
  <c r="G27" i="14"/>
  <c r="F27" i="14"/>
  <c r="G26" i="14"/>
  <c r="F26" i="14"/>
  <c r="G25" i="14"/>
  <c r="F25" i="14"/>
  <c r="F24" i="14"/>
  <c r="G24" i="14" s="1"/>
  <c r="G23" i="14"/>
  <c r="F23" i="14"/>
  <c r="G22" i="14"/>
  <c r="F22" i="14"/>
  <c r="S21" i="14"/>
  <c r="G21" i="14"/>
  <c r="F21" i="14"/>
  <c r="F20" i="14"/>
  <c r="G20" i="14" s="1"/>
  <c r="F19" i="14"/>
  <c r="G19" i="14" s="1"/>
  <c r="F18" i="14"/>
  <c r="G18" i="14" s="1"/>
  <c r="G17" i="14"/>
  <c r="F17" i="14"/>
  <c r="P16" i="14"/>
  <c r="F16" i="14"/>
  <c r="G16" i="14" s="1"/>
  <c r="T15" i="14"/>
  <c r="T16" i="14" s="1"/>
  <c r="G15" i="14"/>
  <c r="F15" i="14"/>
  <c r="T14" i="14"/>
  <c r="T44" i="14" s="1"/>
  <c r="T49" i="14" s="1"/>
  <c r="F14" i="14"/>
  <c r="G14" i="14" s="1"/>
  <c r="F13" i="14"/>
  <c r="G13" i="14" s="1"/>
  <c r="J12" i="14"/>
  <c r="G12" i="14"/>
  <c r="F12" i="14"/>
  <c r="L11" i="14"/>
  <c r="M11" i="14" s="1"/>
  <c r="F11" i="14"/>
  <c r="G11" i="14" s="1"/>
  <c r="L10" i="14"/>
  <c r="M10" i="14" s="1"/>
  <c r="G10" i="14"/>
  <c r="F10" i="14"/>
  <c r="L9" i="14"/>
  <c r="M9" i="14" s="1"/>
  <c r="F9" i="14"/>
  <c r="G9" i="14" s="1"/>
  <c r="L8" i="14"/>
  <c r="M8" i="14" s="1"/>
  <c r="G8" i="14"/>
  <c r="F8" i="14"/>
  <c r="P7" i="14"/>
  <c r="L7" i="14"/>
  <c r="M7" i="14" s="1"/>
  <c r="F7" i="14"/>
  <c r="G7" i="14" s="1"/>
  <c r="T6" i="14"/>
  <c r="T7" i="14" s="1"/>
  <c r="L6" i="14"/>
  <c r="M6" i="14" s="1"/>
  <c r="G6" i="14"/>
  <c r="F6" i="14"/>
  <c r="M5" i="14"/>
  <c r="L5" i="14"/>
  <c r="G5" i="14"/>
  <c r="F5" i="14"/>
  <c r="T4" i="14"/>
  <c r="T42" i="14" s="1"/>
  <c r="L4" i="14"/>
  <c r="M4" i="14" s="1"/>
  <c r="F4" i="14"/>
  <c r="G4" i="14" s="1"/>
  <c r="F274" i="13"/>
  <c r="F272" i="13"/>
  <c r="G272" i="13" s="1"/>
  <c r="G271" i="13"/>
  <c r="F271" i="13"/>
  <c r="G270" i="13"/>
  <c r="F270" i="13"/>
  <c r="F269" i="13"/>
  <c r="G269" i="13" s="1"/>
  <c r="F268" i="13"/>
  <c r="G268" i="13" s="1"/>
  <c r="G267" i="13"/>
  <c r="F267" i="13"/>
  <c r="G266" i="13"/>
  <c r="F266" i="13"/>
  <c r="G265" i="13"/>
  <c r="F265" i="13"/>
  <c r="F264" i="13"/>
  <c r="G264" i="13" s="1"/>
  <c r="G263" i="13"/>
  <c r="F263" i="13"/>
  <c r="G262" i="13"/>
  <c r="F262" i="13"/>
  <c r="G261" i="13"/>
  <c r="F261" i="13"/>
  <c r="F260" i="13"/>
  <c r="G260" i="13" s="1"/>
  <c r="G259" i="13"/>
  <c r="F259" i="13"/>
  <c r="G258" i="13"/>
  <c r="F258" i="13"/>
  <c r="F257" i="13"/>
  <c r="G257" i="13" s="1"/>
  <c r="F256" i="13"/>
  <c r="G256" i="13" s="1"/>
  <c r="G255" i="13"/>
  <c r="F255" i="13"/>
  <c r="D255" i="13"/>
  <c r="F254" i="13"/>
  <c r="D254" i="13"/>
  <c r="F253" i="13"/>
  <c r="G253" i="13" s="1"/>
  <c r="G252" i="13"/>
  <c r="F252" i="13"/>
  <c r="G251" i="13"/>
  <c r="F251" i="13"/>
  <c r="F250" i="13"/>
  <c r="G250" i="13" s="1"/>
  <c r="F249" i="13"/>
  <c r="G249" i="13" s="1"/>
  <c r="G248" i="13"/>
  <c r="F248" i="13"/>
  <c r="G247" i="13"/>
  <c r="F247" i="13"/>
  <c r="G246" i="13"/>
  <c r="F246" i="13"/>
  <c r="F245" i="13"/>
  <c r="G245" i="13" s="1"/>
  <c r="G244" i="13"/>
  <c r="F244" i="13"/>
  <c r="G243" i="13"/>
  <c r="F243" i="13"/>
  <c r="F242" i="13"/>
  <c r="G242" i="13" s="1"/>
  <c r="D242" i="13"/>
  <c r="F241" i="13"/>
  <c r="G241" i="13" s="1"/>
  <c r="D241" i="13"/>
  <c r="G240" i="13"/>
  <c r="F240" i="13"/>
  <c r="G239" i="13"/>
  <c r="F239" i="13"/>
  <c r="F238" i="13"/>
  <c r="G238" i="13" s="1"/>
  <c r="G237" i="13"/>
  <c r="F237" i="13"/>
  <c r="G236" i="13"/>
  <c r="F236" i="13"/>
  <c r="G235" i="13"/>
  <c r="F235" i="13"/>
  <c r="F234" i="13"/>
  <c r="G234" i="13" s="1"/>
  <c r="G233" i="13"/>
  <c r="F233" i="13"/>
  <c r="D233" i="13"/>
  <c r="F232" i="13"/>
  <c r="G232" i="13" s="1"/>
  <c r="G231" i="13"/>
  <c r="F231" i="13"/>
  <c r="F230" i="13"/>
  <c r="G230" i="13" s="1"/>
  <c r="F229" i="13"/>
  <c r="G229" i="13" s="1"/>
  <c r="F228" i="13"/>
  <c r="G228" i="13" s="1"/>
  <c r="G227" i="13"/>
  <c r="F227" i="13"/>
  <c r="F226" i="13"/>
  <c r="G226" i="13" s="1"/>
  <c r="F225" i="13"/>
  <c r="G225" i="13" s="1"/>
  <c r="F224" i="13"/>
  <c r="G224" i="13" s="1"/>
  <c r="G223" i="13"/>
  <c r="F223" i="13"/>
  <c r="F222" i="13"/>
  <c r="G222" i="13" s="1"/>
  <c r="F221" i="13"/>
  <c r="G221" i="13" s="1"/>
  <c r="F220" i="13"/>
  <c r="G220" i="13" s="1"/>
  <c r="G219" i="13"/>
  <c r="F219" i="13"/>
  <c r="F218" i="13"/>
  <c r="G218" i="13" s="1"/>
  <c r="F217" i="13"/>
  <c r="G217" i="13" s="1"/>
  <c r="F216" i="13"/>
  <c r="G216" i="13" s="1"/>
  <c r="G215" i="13"/>
  <c r="F215" i="13"/>
  <c r="F214" i="13"/>
  <c r="G214" i="13" s="1"/>
  <c r="F213" i="13"/>
  <c r="G213" i="13" s="1"/>
  <c r="F212" i="13"/>
  <c r="D212" i="13"/>
  <c r="G212" i="13" s="1"/>
  <c r="F211" i="13"/>
  <c r="G211" i="13" s="1"/>
  <c r="G210" i="13"/>
  <c r="F210" i="13"/>
  <c r="G209" i="13"/>
  <c r="F209" i="13"/>
  <c r="G208" i="13"/>
  <c r="F208" i="13"/>
  <c r="F207" i="13"/>
  <c r="G207" i="13" s="1"/>
  <c r="G206" i="13"/>
  <c r="F206" i="13"/>
  <c r="G205" i="13"/>
  <c r="F205" i="13"/>
  <c r="G204" i="13"/>
  <c r="F204" i="13"/>
  <c r="D204" i="13"/>
  <c r="F203" i="13"/>
  <c r="G203" i="13" s="1"/>
  <c r="F202" i="13"/>
  <c r="D202" i="13"/>
  <c r="G202" i="13" s="1"/>
  <c r="G201" i="13"/>
  <c r="F201" i="13"/>
  <c r="F200" i="13"/>
  <c r="G200" i="13" s="1"/>
  <c r="G199" i="13"/>
  <c r="F199" i="13"/>
  <c r="G198" i="13"/>
  <c r="F198" i="13"/>
  <c r="F197" i="13"/>
  <c r="G197" i="13" s="1"/>
  <c r="F196" i="13"/>
  <c r="G196" i="13" s="1"/>
  <c r="G195" i="13"/>
  <c r="F195" i="13"/>
  <c r="G194" i="13"/>
  <c r="F194" i="13"/>
  <c r="F193" i="13"/>
  <c r="G193" i="13" s="1"/>
  <c r="D193" i="13"/>
  <c r="F192" i="13"/>
  <c r="G192" i="13" s="1"/>
  <c r="F191" i="13"/>
  <c r="G191" i="13" s="1"/>
  <c r="F190" i="13"/>
  <c r="G190" i="13" s="1"/>
  <c r="G189" i="13"/>
  <c r="F189" i="13"/>
  <c r="F188" i="13"/>
  <c r="G188" i="13" s="1"/>
  <c r="F187" i="13"/>
  <c r="G187" i="13" s="1"/>
  <c r="F186" i="13"/>
  <c r="D186" i="13"/>
  <c r="F185" i="13"/>
  <c r="G185" i="13" s="1"/>
  <c r="G184" i="13"/>
  <c r="F184" i="13"/>
  <c r="G183" i="13"/>
  <c r="F183" i="13"/>
  <c r="F182" i="13"/>
  <c r="G182" i="13" s="1"/>
  <c r="F181" i="13"/>
  <c r="G181" i="13" s="1"/>
  <c r="G180" i="13"/>
  <c r="F180" i="13"/>
  <c r="G179" i="13"/>
  <c r="F179" i="13"/>
  <c r="F178" i="13"/>
  <c r="G178" i="13" s="1"/>
  <c r="D178" i="13"/>
  <c r="F177" i="13"/>
  <c r="G177" i="13" s="1"/>
  <c r="F176" i="13"/>
  <c r="G176" i="13" s="1"/>
  <c r="F175" i="13"/>
  <c r="D175" i="13"/>
  <c r="F174" i="13"/>
  <c r="D174" i="13"/>
  <c r="G174" i="13" s="1"/>
  <c r="F173" i="13"/>
  <c r="G173" i="13" s="1"/>
  <c r="F172" i="13"/>
  <c r="G172" i="13" s="1"/>
  <c r="G171" i="13"/>
  <c r="F171" i="13"/>
  <c r="F170" i="13"/>
  <c r="G170" i="13" s="1"/>
  <c r="F169" i="13"/>
  <c r="G169" i="13" s="1"/>
  <c r="F168" i="13"/>
  <c r="G168" i="13" s="1"/>
  <c r="G167" i="13"/>
  <c r="F167" i="13"/>
  <c r="F166" i="13"/>
  <c r="G166" i="13" s="1"/>
  <c r="F165" i="13"/>
  <c r="G165" i="13" s="1"/>
  <c r="F164" i="13"/>
  <c r="G164" i="13" s="1"/>
  <c r="G163" i="13"/>
  <c r="F163" i="13"/>
  <c r="F162" i="13"/>
  <c r="G162" i="13" s="1"/>
  <c r="F161" i="13"/>
  <c r="D161" i="13"/>
  <c r="G161" i="13" s="1"/>
  <c r="G160" i="13"/>
  <c r="F160" i="13"/>
  <c r="D160" i="13"/>
  <c r="F159" i="13"/>
  <c r="G159" i="13" s="1"/>
  <c r="F158" i="13"/>
  <c r="G158" i="13" s="1"/>
  <c r="F157" i="13"/>
  <c r="G157" i="13" s="1"/>
  <c r="G156" i="13"/>
  <c r="F156" i="13"/>
  <c r="F155" i="13"/>
  <c r="G155" i="13" s="1"/>
  <c r="F154" i="13"/>
  <c r="G154" i="13" s="1"/>
  <c r="F153" i="13"/>
  <c r="G153" i="13" s="1"/>
  <c r="G152" i="13"/>
  <c r="F152" i="13"/>
  <c r="F151" i="13"/>
  <c r="G151" i="13" s="1"/>
  <c r="F150" i="13"/>
  <c r="G150" i="13" s="1"/>
  <c r="F149" i="13"/>
  <c r="G149" i="13" s="1"/>
  <c r="G148" i="13"/>
  <c r="F148" i="13"/>
  <c r="D148" i="13"/>
  <c r="G147" i="13"/>
  <c r="F147" i="13"/>
  <c r="D147" i="13"/>
  <c r="F146" i="13"/>
  <c r="G146" i="13" s="1"/>
  <c r="G145" i="13"/>
  <c r="F145" i="13"/>
  <c r="F144" i="13"/>
  <c r="G144" i="13" s="1"/>
  <c r="F143" i="13"/>
  <c r="G143" i="13" s="1"/>
  <c r="F142" i="13"/>
  <c r="G142" i="13" s="1"/>
  <c r="G141" i="13"/>
  <c r="F141" i="13"/>
  <c r="F140" i="13"/>
  <c r="G140" i="13" s="1"/>
  <c r="F139" i="13"/>
  <c r="D139" i="13"/>
  <c r="G139" i="13" s="1"/>
  <c r="F138" i="13"/>
  <c r="G138" i="13" s="1"/>
  <c r="G137" i="13"/>
  <c r="F137" i="13"/>
  <c r="G136" i="13"/>
  <c r="F136" i="13"/>
  <c r="G135" i="13"/>
  <c r="F135" i="13"/>
  <c r="F134" i="13"/>
  <c r="G134" i="13" s="1"/>
  <c r="D134" i="13"/>
  <c r="F133" i="13"/>
  <c r="G133" i="13" s="1"/>
  <c r="D133" i="13"/>
  <c r="G132" i="13"/>
  <c r="F132" i="13"/>
  <c r="G131" i="13"/>
  <c r="F131" i="13"/>
  <c r="F130" i="13"/>
  <c r="G130" i="13" s="1"/>
  <c r="G129" i="13"/>
  <c r="F129" i="13"/>
  <c r="G128" i="13"/>
  <c r="F128" i="13"/>
  <c r="F127" i="13"/>
  <c r="G127" i="13" s="1"/>
  <c r="F126" i="13"/>
  <c r="G126" i="13" s="1"/>
  <c r="G125" i="13"/>
  <c r="F125" i="13"/>
  <c r="G124" i="13"/>
  <c r="F124" i="13"/>
  <c r="G123" i="13"/>
  <c r="F123" i="13"/>
  <c r="F122" i="13"/>
  <c r="G122" i="13" s="1"/>
  <c r="G121" i="13"/>
  <c r="F121" i="13"/>
  <c r="G120" i="13"/>
  <c r="F120" i="13"/>
  <c r="G119" i="13"/>
  <c r="F119" i="13"/>
  <c r="D119" i="13"/>
  <c r="F118" i="13"/>
  <c r="G118" i="13" s="1"/>
  <c r="D118" i="13"/>
  <c r="G117" i="13"/>
  <c r="F117" i="13"/>
  <c r="F116" i="13"/>
  <c r="G116" i="13" s="1"/>
  <c r="F115" i="13"/>
  <c r="G115" i="13" s="1"/>
  <c r="G114" i="13"/>
  <c r="F114" i="13"/>
  <c r="G113" i="13"/>
  <c r="F113" i="13"/>
  <c r="G112" i="13"/>
  <c r="F112" i="13"/>
  <c r="F111" i="13"/>
  <c r="G111" i="13" s="1"/>
  <c r="G110" i="13"/>
  <c r="F110" i="13"/>
  <c r="G109" i="13"/>
  <c r="F109" i="13"/>
  <c r="F108" i="13"/>
  <c r="G108" i="13" s="1"/>
  <c r="F107" i="13"/>
  <c r="G107" i="13" s="1"/>
  <c r="G106" i="13"/>
  <c r="F106" i="13"/>
  <c r="G105" i="13"/>
  <c r="F105" i="13"/>
  <c r="F104" i="13"/>
  <c r="G104" i="13" s="1"/>
  <c r="F103" i="13"/>
  <c r="G103" i="13" s="1"/>
  <c r="G102" i="13"/>
  <c r="F102" i="13"/>
  <c r="G101" i="13"/>
  <c r="F101" i="13"/>
  <c r="G100" i="13"/>
  <c r="F100" i="13"/>
  <c r="F99" i="13"/>
  <c r="G99" i="13" s="1"/>
  <c r="G98" i="13"/>
  <c r="F98" i="13"/>
  <c r="G97" i="13"/>
  <c r="F97" i="13"/>
  <c r="F96" i="13"/>
  <c r="G96" i="13" s="1"/>
  <c r="F95" i="13"/>
  <c r="G95" i="13" s="1"/>
  <c r="G94" i="13"/>
  <c r="F94" i="13"/>
  <c r="G93" i="13"/>
  <c r="F93" i="13"/>
  <c r="G92" i="13"/>
  <c r="F92" i="13"/>
  <c r="F91" i="13"/>
  <c r="G91" i="13" s="1"/>
  <c r="G90" i="13"/>
  <c r="F90" i="13"/>
  <c r="G89" i="13"/>
  <c r="F89" i="13"/>
  <c r="G88" i="13"/>
  <c r="F88" i="13"/>
  <c r="F87" i="13"/>
  <c r="G87" i="13" s="1"/>
  <c r="G86" i="13"/>
  <c r="F86" i="13"/>
  <c r="G85" i="13"/>
  <c r="F85" i="13"/>
  <c r="F84" i="13"/>
  <c r="G84" i="13" s="1"/>
  <c r="F83" i="13"/>
  <c r="G83" i="13" s="1"/>
  <c r="G82" i="13"/>
  <c r="F82" i="13"/>
  <c r="G81" i="13"/>
  <c r="F81" i="13"/>
  <c r="G80" i="13"/>
  <c r="F80" i="13"/>
  <c r="F79" i="13"/>
  <c r="G79" i="13" s="1"/>
  <c r="G78" i="13"/>
  <c r="F78" i="13"/>
  <c r="G77" i="13"/>
  <c r="F77" i="13"/>
  <c r="G76" i="13"/>
  <c r="F76" i="13"/>
  <c r="F75" i="13"/>
  <c r="G75" i="13" s="1"/>
  <c r="G74" i="13"/>
  <c r="F74" i="13"/>
  <c r="G73" i="13"/>
  <c r="F73" i="13"/>
  <c r="F72" i="13"/>
  <c r="G72" i="13" s="1"/>
  <c r="F71" i="13"/>
  <c r="G71" i="13" s="1"/>
  <c r="G70" i="13"/>
  <c r="F70" i="13"/>
  <c r="G69" i="13"/>
  <c r="F69" i="13"/>
  <c r="G68" i="13"/>
  <c r="F68" i="13"/>
  <c r="F67" i="13"/>
  <c r="G67" i="13" s="1"/>
  <c r="G66" i="13"/>
  <c r="F66" i="13"/>
  <c r="G65" i="13"/>
  <c r="F65" i="13"/>
  <c r="F64" i="13"/>
  <c r="G64" i="13" s="1"/>
  <c r="F63" i="13"/>
  <c r="G63" i="13" s="1"/>
  <c r="G62" i="13"/>
  <c r="F62" i="13"/>
  <c r="G61" i="13"/>
  <c r="F61" i="13"/>
  <c r="F60" i="13"/>
  <c r="G60" i="13" s="1"/>
  <c r="F59" i="13"/>
  <c r="G59" i="13" s="1"/>
  <c r="G58" i="13"/>
  <c r="F58" i="13"/>
  <c r="G57" i="13"/>
  <c r="F57" i="13"/>
  <c r="G56" i="13"/>
  <c r="F56" i="13"/>
  <c r="F55" i="13"/>
  <c r="G55" i="13" s="1"/>
  <c r="G54" i="13"/>
  <c r="F54" i="13"/>
  <c r="G53" i="13"/>
  <c r="F53" i="13"/>
  <c r="F52" i="13"/>
  <c r="G52" i="13" s="1"/>
  <c r="F51" i="13"/>
  <c r="G51" i="13" s="1"/>
  <c r="G50" i="13"/>
  <c r="F50" i="13"/>
  <c r="P49" i="13"/>
  <c r="F49" i="13"/>
  <c r="G49" i="13" s="1"/>
  <c r="F48" i="13"/>
  <c r="G48" i="13" s="1"/>
  <c r="F47" i="13"/>
  <c r="G47" i="13" s="1"/>
  <c r="G46" i="13"/>
  <c r="F46" i="13"/>
  <c r="T45" i="13"/>
  <c r="S45" i="13"/>
  <c r="Q45" i="13"/>
  <c r="G45" i="13"/>
  <c r="F45" i="13"/>
  <c r="S44" i="13"/>
  <c r="Q44" i="13"/>
  <c r="F44" i="13"/>
  <c r="G44" i="13" s="1"/>
  <c r="Q43" i="13"/>
  <c r="F43" i="13"/>
  <c r="G43" i="13" s="1"/>
  <c r="Q42" i="13"/>
  <c r="F42" i="13"/>
  <c r="G42" i="13" s="1"/>
  <c r="S41" i="13"/>
  <c r="Q41" i="13"/>
  <c r="F41" i="13"/>
  <c r="G41" i="13" s="1"/>
  <c r="Q40" i="13"/>
  <c r="T40" i="13" s="1"/>
  <c r="G40" i="13"/>
  <c r="F40" i="13"/>
  <c r="T39" i="13"/>
  <c r="Q39" i="13"/>
  <c r="G39" i="13"/>
  <c r="F39" i="13"/>
  <c r="Q38" i="13"/>
  <c r="T38" i="13" s="1"/>
  <c r="G38" i="13"/>
  <c r="F38" i="13"/>
  <c r="T37" i="13"/>
  <c r="Q37" i="13"/>
  <c r="F37" i="13"/>
  <c r="G37" i="13" s="1"/>
  <c r="Q36" i="13"/>
  <c r="T36" i="13" s="1"/>
  <c r="G36" i="13"/>
  <c r="F36" i="13"/>
  <c r="Q35" i="13"/>
  <c r="G35" i="13"/>
  <c r="F35" i="13"/>
  <c r="F34" i="13"/>
  <c r="G34" i="13" s="1"/>
  <c r="Q33" i="13"/>
  <c r="T33" i="13" s="1"/>
  <c r="G33" i="13"/>
  <c r="F33" i="13"/>
  <c r="Q32" i="13"/>
  <c r="T32" i="13" s="1"/>
  <c r="F32" i="13"/>
  <c r="G32" i="13" s="1"/>
  <c r="Q31" i="13"/>
  <c r="T31" i="13" s="1"/>
  <c r="G31" i="13"/>
  <c r="F31" i="13"/>
  <c r="Q30" i="13"/>
  <c r="T30" i="13" s="1"/>
  <c r="F30" i="13"/>
  <c r="G30" i="13" s="1"/>
  <c r="Q29" i="13"/>
  <c r="T29" i="13" s="1"/>
  <c r="G29" i="13"/>
  <c r="F29" i="13"/>
  <c r="G28" i="13"/>
  <c r="F28" i="13"/>
  <c r="G27" i="13"/>
  <c r="F27" i="13"/>
  <c r="F26" i="13"/>
  <c r="G26" i="13" s="1"/>
  <c r="F25" i="13"/>
  <c r="G25" i="13" s="1"/>
  <c r="G24" i="13"/>
  <c r="F24" i="13"/>
  <c r="F23" i="13"/>
  <c r="G23" i="13" s="1"/>
  <c r="S22" i="13"/>
  <c r="F22" i="13"/>
  <c r="G22" i="13" s="1"/>
  <c r="G21" i="13"/>
  <c r="F21" i="13"/>
  <c r="F20" i="13"/>
  <c r="G20" i="13" s="1"/>
  <c r="G19" i="13"/>
  <c r="F19" i="13"/>
  <c r="F18" i="13"/>
  <c r="G18" i="13" s="1"/>
  <c r="P17" i="13"/>
  <c r="F17" i="13"/>
  <c r="G17" i="13" s="1"/>
  <c r="T16" i="13"/>
  <c r="T41" i="13" s="1"/>
  <c r="F16" i="13"/>
  <c r="G16" i="13" s="1"/>
  <c r="T15" i="13"/>
  <c r="T17" i="13" s="1"/>
  <c r="G15" i="13"/>
  <c r="F15" i="13"/>
  <c r="F14" i="13"/>
  <c r="G14" i="13" s="1"/>
  <c r="G13" i="13"/>
  <c r="F13" i="13"/>
  <c r="F12" i="13"/>
  <c r="G12" i="13" s="1"/>
  <c r="J11" i="13"/>
  <c r="F11" i="13"/>
  <c r="G11" i="13" s="1"/>
  <c r="M10" i="13"/>
  <c r="L10" i="13"/>
  <c r="F10" i="13"/>
  <c r="G10" i="13" s="1"/>
  <c r="M9" i="13"/>
  <c r="L9" i="13"/>
  <c r="F9" i="13"/>
  <c r="G9" i="13" s="1"/>
  <c r="M8" i="13"/>
  <c r="L8" i="13"/>
  <c r="F8" i="13"/>
  <c r="G8" i="13" s="1"/>
  <c r="P7" i="13"/>
  <c r="L7" i="13"/>
  <c r="M7" i="13" s="1"/>
  <c r="G7" i="13"/>
  <c r="F7" i="13"/>
  <c r="T6" i="13"/>
  <c r="T43" i="13" s="1"/>
  <c r="L6" i="13"/>
  <c r="M6" i="13" s="1"/>
  <c r="G6" i="13"/>
  <c r="F6" i="13"/>
  <c r="L5" i="13"/>
  <c r="M5" i="13" s="1"/>
  <c r="F5" i="13"/>
  <c r="G5" i="13" s="1"/>
  <c r="T4" i="13"/>
  <c r="T7" i="13" s="1"/>
  <c r="M4" i="13"/>
  <c r="L4" i="13"/>
  <c r="F4" i="13"/>
  <c r="G4" i="13" s="1"/>
  <c r="D127" i="12"/>
  <c r="G124" i="12"/>
  <c r="G123" i="12"/>
  <c r="G122" i="12"/>
  <c r="G121" i="12"/>
  <c r="F121" i="12"/>
  <c r="G120" i="12"/>
  <c r="G119" i="12"/>
  <c r="G118" i="12"/>
  <c r="G117" i="12"/>
  <c r="G116" i="12"/>
  <c r="F116" i="12"/>
  <c r="G115" i="12"/>
  <c r="F115" i="12"/>
  <c r="F114" i="12"/>
  <c r="G114" i="12" s="1"/>
  <c r="F113" i="12"/>
  <c r="G113" i="12" s="1"/>
  <c r="G112" i="12"/>
  <c r="G111" i="12"/>
  <c r="G110" i="12"/>
  <c r="G109" i="12"/>
  <c r="G108" i="12"/>
  <c r="G107" i="12"/>
  <c r="G106" i="12"/>
  <c r="F105" i="12"/>
  <c r="G105" i="12" s="1"/>
  <c r="G104" i="12"/>
  <c r="F104" i="12"/>
  <c r="G103" i="12"/>
  <c r="G102" i="12"/>
  <c r="G101" i="12"/>
  <c r="F100" i="12"/>
  <c r="G100" i="12" s="1"/>
  <c r="G99" i="12"/>
  <c r="G98" i="12"/>
  <c r="G97" i="12"/>
  <c r="G96" i="12"/>
  <c r="G95" i="12"/>
  <c r="G94" i="12"/>
  <c r="F94" i="12"/>
  <c r="G93" i="12"/>
  <c r="G92" i="12"/>
  <c r="F92" i="12"/>
  <c r="G91" i="12"/>
  <c r="G90" i="12"/>
  <c r="G89" i="12"/>
  <c r="G88" i="12"/>
  <c r="G87" i="12"/>
  <c r="G86" i="12"/>
  <c r="G85" i="12"/>
  <c r="G84" i="12"/>
  <c r="G83" i="12"/>
  <c r="F83" i="12"/>
  <c r="G82" i="12"/>
  <c r="G81" i="12"/>
  <c r="F80" i="12"/>
  <c r="G80" i="12" s="1"/>
  <c r="G79" i="12"/>
  <c r="G78" i="12"/>
  <c r="F78" i="12"/>
  <c r="F77" i="12"/>
  <c r="G77" i="12" s="1"/>
  <c r="G76" i="12"/>
  <c r="F76" i="12"/>
  <c r="G75" i="12"/>
  <c r="G74" i="12"/>
  <c r="G73" i="12"/>
  <c r="G72" i="12"/>
  <c r="G71" i="12"/>
  <c r="G70" i="12"/>
  <c r="G69" i="12"/>
  <c r="F69" i="12"/>
  <c r="G68" i="12"/>
  <c r="G67" i="12"/>
  <c r="G66" i="12"/>
  <c r="G65" i="12"/>
  <c r="G64" i="12"/>
  <c r="G63" i="12"/>
  <c r="G62" i="12"/>
  <c r="G61" i="12"/>
  <c r="F60" i="12"/>
  <c r="G60" i="12" s="1"/>
  <c r="G59" i="12"/>
  <c r="G58" i="12"/>
  <c r="F58" i="12"/>
  <c r="F57" i="12"/>
  <c r="G57" i="12" s="1"/>
  <c r="G56" i="12"/>
  <c r="G55" i="12"/>
  <c r="G54" i="12"/>
  <c r="G53" i="12"/>
  <c r="G52" i="12"/>
  <c r="F51" i="12"/>
  <c r="G51" i="12" s="1"/>
  <c r="T50" i="12"/>
  <c r="S50" i="12"/>
  <c r="F50" i="12"/>
  <c r="G50" i="12" s="1"/>
  <c r="S49" i="12"/>
  <c r="F49" i="12"/>
  <c r="G49" i="12" s="1"/>
  <c r="Q48" i="12"/>
  <c r="G48" i="12"/>
  <c r="Q47" i="12"/>
  <c r="G47" i="12"/>
  <c r="Q46" i="12"/>
  <c r="S46" i="12" s="1"/>
  <c r="G46" i="12"/>
  <c r="Q45" i="12"/>
  <c r="T45" i="12" s="1"/>
  <c r="G45" i="12"/>
  <c r="T44" i="12"/>
  <c r="Q44" i="12"/>
  <c r="G44" i="12"/>
  <c r="Q43" i="12"/>
  <c r="T43" i="12" s="1"/>
  <c r="G43" i="12"/>
  <c r="Q42" i="12"/>
  <c r="T42" i="12" s="1"/>
  <c r="G42" i="12"/>
  <c r="F42" i="12"/>
  <c r="Q41" i="12"/>
  <c r="T41" i="12" s="1"/>
  <c r="G41" i="12"/>
  <c r="Q40" i="12"/>
  <c r="T40" i="12" s="1"/>
  <c r="G40" i="12"/>
  <c r="F40" i="12"/>
  <c r="G39" i="12"/>
  <c r="G38" i="12"/>
  <c r="Q37" i="12"/>
  <c r="T37" i="12" s="1"/>
  <c r="G37" i="12"/>
  <c r="Q36" i="12"/>
  <c r="T36" i="12" s="1"/>
  <c r="G36" i="12"/>
  <c r="T35" i="12"/>
  <c r="Q35" i="12"/>
  <c r="F35" i="12"/>
  <c r="T34" i="12"/>
  <c r="Q34" i="12"/>
  <c r="F34" i="12"/>
  <c r="G34" i="12" s="1"/>
  <c r="F33" i="12"/>
  <c r="G33" i="12" s="1"/>
  <c r="Q32" i="12"/>
  <c r="T32" i="12" s="1"/>
  <c r="G32" i="12"/>
  <c r="Q31" i="12"/>
  <c r="T31" i="12" s="1"/>
  <c r="G31" i="12"/>
  <c r="Q30" i="12"/>
  <c r="G30" i="12"/>
  <c r="T29" i="12"/>
  <c r="Q29" i="12"/>
  <c r="G29" i="12"/>
  <c r="G28" i="12"/>
  <c r="G27" i="12"/>
  <c r="G26" i="12"/>
  <c r="G25" i="12"/>
  <c r="G24" i="12"/>
  <c r="G23" i="12"/>
  <c r="F23" i="12"/>
  <c r="S22" i="12"/>
  <c r="G22" i="12"/>
  <c r="G21" i="12"/>
  <c r="G20" i="12"/>
  <c r="G19" i="12"/>
  <c r="G18" i="12"/>
  <c r="G17" i="12"/>
  <c r="G16" i="12"/>
  <c r="P15" i="12"/>
  <c r="G15" i="12"/>
  <c r="T14" i="12"/>
  <c r="T13" i="12"/>
  <c r="G13" i="12"/>
  <c r="G12" i="12"/>
  <c r="J11" i="12"/>
  <c r="G11" i="12"/>
  <c r="L10" i="12"/>
  <c r="M10" i="12" s="1"/>
  <c r="G10" i="12"/>
  <c r="M9" i="12"/>
  <c r="L9" i="12"/>
  <c r="G9" i="12"/>
  <c r="L8" i="12"/>
  <c r="M8" i="12" s="1"/>
  <c r="G8" i="12"/>
  <c r="T7" i="12"/>
  <c r="P7" i="12"/>
  <c r="M7" i="12"/>
  <c r="L7" i="12"/>
  <c r="F7" i="12"/>
  <c r="G7" i="12" s="1"/>
  <c r="T6" i="12"/>
  <c r="T48" i="12" s="1"/>
  <c r="L6" i="12"/>
  <c r="M6" i="12" s="1"/>
  <c r="G6" i="12"/>
  <c r="M5" i="12"/>
  <c r="L5" i="12"/>
  <c r="G5" i="12"/>
  <c r="T4" i="12"/>
  <c r="T47" i="12" s="1"/>
  <c r="M4" i="12"/>
  <c r="L4" i="12"/>
  <c r="G4" i="12"/>
  <c r="F25" i="11"/>
  <c r="E25" i="11"/>
  <c r="C25" i="11"/>
  <c r="C24" i="11"/>
  <c r="E24" i="11" s="1"/>
  <c r="F23" i="11"/>
  <c r="C23" i="11"/>
  <c r="C22" i="11"/>
  <c r="F21" i="11"/>
  <c r="C21" i="11"/>
  <c r="F20" i="11"/>
  <c r="C20" i="11"/>
  <c r="C19" i="11"/>
  <c r="F19" i="11" s="1"/>
  <c r="F18" i="11"/>
  <c r="C18" i="11"/>
  <c r="F17" i="11"/>
  <c r="C17" i="11"/>
  <c r="C15" i="11"/>
  <c r="F15" i="11" s="1"/>
  <c r="F11" i="11"/>
  <c r="C11" i="11"/>
  <c r="C10" i="11"/>
  <c r="F10" i="11" s="1"/>
  <c r="C9" i="11"/>
  <c r="F9" i="11" s="1"/>
  <c r="F7" i="11"/>
  <c r="C7" i="11"/>
  <c r="G6" i="11"/>
  <c r="G5" i="11"/>
  <c r="G26" i="11" s="1"/>
  <c r="J69" i="10"/>
  <c r="M69" i="10" s="1"/>
  <c r="L69" i="10" s="1"/>
  <c r="M68" i="10"/>
  <c r="L68" i="10" s="1"/>
  <c r="J68" i="10"/>
  <c r="J67" i="10"/>
  <c r="M67" i="10" s="1"/>
  <c r="L67" i="10" s="1"/>
  <c r="J66" i="10"/>
  <c r="M66" i="10" s="1"/>
  <c r="L66" i="10" s="1"/>
  <c r="M65" i="10"/>
  <c r="L65" i="10" s="1"/>
  <c r="J65" i="10"/>
  <c r="M64" i="10"/>
  <c r="L64" i="10" s="1"/>
  <c r="J64" i="10"/>
  <c r="M60" i="10"/>
  <c r="L60" i="10" s="1"/>
  <c r="J60" i="10"/>
  <c r="M54" i="10"/>
  <c r="L54" i="10" s="1"/>
  <c r="J54" i="10"/>
  <c r="J52" i="10"/>
  <c r="M52" i="10" s="1"/>
  <c r="L52" i="10" s="1"/>
  <c r="J50" i="10"/>
  <c r="M50" i="10" s="1"/>
  <c r="L50" i="10" s="1"/>
  <c r="J48" i="10"/>
  <c r="M48" i="10" s="1"/>
  <c r="L48" i="10" s="1"/>
  <c r="J46" i="10"/>
  <c r="M46" i="10" s="1"/>
  <c r="L46" i="10" s="1"/>
  <c r="M44" i="10"/>
  <c r="L44" i="10"/>
  <c r="J44" i="10"/>
  <c r="L42" i="10"/>
  <c r="J40" i="10"/>
  <c r="M40" i="10" s="1"/>
  <c r="L40" i="10" s="1"/>
  <c r="L38" i="10"/>
  <c r="M36" i="10"/>
  <c r="L36" i="10" s="1"/>
  <c r="J36" i="10"/>
  <c r="M34" i="10"/>
  <c r="L34" i="10" s="1"/>
  <c r="J34" i="10"/>
  <c r="M32" i="10"/>
  <c r="L32" i="10" s="1"/>
  <c r="J32" i="10"/>
  <c r="J30" i="10"/>
  <c r="M30" i="10" s="1"/>
  <c r="L30" i="10" s="1"/>
  <c r="J28" i="10"/>
  <c r="M28" i="10" s="1"/>
  <c r="L28" i="10" s="1"/>
  <c r="M26" i="10"/>
  <c r="L26" i="10" s="1"/>
  <c r="J26" i="10"/>
  <c r="L24" i="10"/>
  <c r="J24" i="10"/>
  <c r="M24" i="10" s="1"/>
  <c r="J22" i="10"/>
  <c r="M22" i="10" s="1"/>
  <c r="L22" i="10" s="1"/>
  <c r="M20" i="10"/>
  <c r="L20" i="10"/>
  <c r="J20" i="10"/>
  <c r="M18" i="10"/>
  <c r="L18" i="10" s="1"/>
  <c r="J18" i="10"/>
  <c r="M15" i="10"/>
  <c r="L14" i="10" s="1"/>
  <c r="J15" i="10"/>
  <c r="J12" i="10"/>
  <c r="M12" i="10" s="1"/>
  <c r="L12" i="10" s="1"/>
  <c r="J10" i="10"/>
  <c r="M10" i="10" s="1"/>
  <c r="L10" i="10" s="1"/>
  <c r="M7" i="10"/>
  <c r="L7" i="10" s="1"/>
  <c r="J7" i="10"/>
  <c r="L5" i="10"/>
  <c r="J5" i="10"/>
  <c r="M5" i="10" s="1"/>
  <c r="J46" i="9"/>
  <c r="L46" i="9" s="1"/>
  <c r="N46" i="9" s="1"/>
  <c r="O46" i="9" s="1"/>
  <c r="J45" i="9"/>
  <c r="L45" i="9" s="1"/>
  <c r="N45" i="9" s="1"/>
  <c r="O45" i="9" s="1"/>
  <c r="J44" i="9"/>
  <c r="L44" i="9" s="1"/>
  <c r="N44" i="9" s="1"/>
  <c r="O44" i="9" s="1"/>
  <c r="J43" i="9"/>
  <c r="L43" i="9" s="1"/>
  <c r="N43" i="9" s="1"/>
  <c r="O43" i="9" s="1"/>
  <c r="L42" i="9"/>
  <c r="N42" i="9" s="1"/>
  <c r="O42" i="9" s="1"/>
  <c r="L41" i="9"/>
  <c r="N41" i="9" s="1"/>
  <c r="O41" i="9" s="1"/>
  <c r="L40" i="9"/>
  <c r="N40" i="9" s="1"/>
  <c r="O40" i="9" s="1"/>
  <c r="L39" i="9"/>
  <c r="N39" i="9" s="1"/>
  <c r="O39" i="9" s="1"/>
  <c r="N38" i="9"/>
  <c r="O38" i="9" s="1"/>
  <c r="L38" i="9"/>
  <c r="L37" i="9"/>
  <c r="N37" i="9" s="1"/>
  <c r="O37" i="9" s="1"/>
  <c r="L36" i="9"/>
  <c r="N36" i="9" s="1"/>
  <c r="O36" i="9" s="1"/>
  <c r="L35" i="9"/>
  <c r="N35" i="9" s="1"/>
  <c r="O35" i="9" s="1"/>
  <c r="J35" i="9"/>
  <c r="L27" i="9"/>
  <c r="N27" i="9" s="1"/>
  <c r="O27" i="9" s="1"/>
  <c r="J27" i="9"/>
  <c r="L26" i="9"/>
  <c r="N26" i="9" s="1"/>
  <c r="O26" i="9" s="1"/>
  <c r="L25" i="9"/>
  <c r="N25" i="9" s="1"/>
  <c r="O25" i="9" s="1"/>
  <c r="L24" i="9"/>
  <c r="N24" i="9" s="1"/>
  <c r="O24" i="9" s="1"/>
  <c r="N23" i="9"/>
  <c r="O23" i="9" s="1"/>
  <c r="L23" i="9"/>
  <c r="L22" i="9"/>
  <c r="N22" i="9" s="1"/>
  <c r="O22" i="9" s="1"/>
  <c r="J22" i="9"/>
  <c r="L21" i="9"/>
  <c r="N21" i="9" s="1"/>
  <c r="O21" i="9" s="1"/>
  <c r="L20" i="9"/>
  <c r="N20" i="9" s="1"/>
  <c r="O20" i="9" s="1"/>
  <c r="O19" i="9"/>
  <c r="L19" i="9"/>
  <c r="N19" i="9" s="1"/>
  <c r="L18" i="9"/>
  <c r="N18" i="9" s="1"/>
  <c r="O18" i="9" s="1"/>
  <c r="L17" i="9"/>
  <c r="N17" i="9" s="1"/>
  <c r="O17" i="9" s="1"/>
  <c r="J16" i="9"/>
  <c r="L16" i="9" s="1"/>
  <c r="N16" i="9" s="1"/>
  <c r="O16" i="9" s="1"/>
  <c r="L15" i="9"/>
  <c r="N15" i="9" s="1"/>
  <c r="O15" i="9" s="1"/>
  <c r="L14" i="9"/>
  <c r="N14" i="9" s="1"/>
  <c r="O14" i="9" s="1"/>
  <c r="L13" i="9"/>
  <c r="N13" i="9" s="1"/>
  <c r="O13" i="9" s="1"/>
  <c r="L12" i="9"/>
  <c r="N12" i="9" s="1"/>
  <c r="O12" i="9" s="1"/>
  <c r="L11" i="9"/>
  <c r="N11" i="9" s="1"/>
  <c r="O11" i="9" s="1"/>
  <c r="J10" i="9"/>
  <c r="L10" i="9" s="1"/>
  <c r="N10" i="9" s="1"/>
  <c r="O10" i="9" s="1"/>
  <c r="L9" i="9"/>
  <c r="N9" i="9" s="1"/>
  <c r="O9" i="9" s="1"/>
  <c r="L8" i="9"/>
  <c r="N8" i="9" s="1"/>
  <c r="O8" i="9" s="1"/>
  <c r="J8" i="9"/>
  <c r="L7" i="9"/>
  <c r="N7" i="9" s="1"/>
  <c r="O7" i="9" s="1"/>
  <c r="L6" i="9"/>
  <c r="N6" i="9" s="1"/>
  <c r="O6" i="9" s="1"/>
  <c r="L5" i="9"/>
  <c r="N5" i="9" s="1"/>
  <c r="O5" i="9" s="1"/>
  <c r="L4" i="9"/>
  <c r="J4" i="9"/>
  <c r="J79" i="8"/>
  <c r="L79" i="8" s="1"/>
  <c r="J78" i="8"/>
  <c r="L78" i="8" s="1"/>
  <c r="J77" i="8"/>
  <c r="L77" i="8" s="1"/>
  <c r="L76" i="8"/>
  <c r="J76" i="8"/>
  <c r="J75" i="8"/>
  <c r="L75" i="8" s="1"/>
  <c r="J74" i="8"/>
  <c r="L74" i="8" s="1"/>
  <c r="J73" i="8"/>
  <c r="L73" i="8" s="1"/>
  <c r="L72" i="8"/>
  <c r="J72" i="8"/>
  <c r="J71" i="8"/>
  <c r="L71" i="8" s="1"/>
  <c r="J70" i="8"/>
  <c r="L70" i="8" s="1"/>
  <c r="J69" i="8"/>
  <c r="L69" i="8" s="1"/>
  <c r="L68" i="8"/>
  <c r="J68" i="8"/>
  <c r="L67" i="8"/>
  <c r="J67" i="8"/>
  <c r="J66" i="8"/>
  <c r="L66" i="8" s="1"/>
  <c r="J65" i="8"/>
  <c r="L65" i="8" s="1"/>
  <c r="L63" i="8"/>
  <c r="J63" i="8"/>
  <c r="J60" i="8"/>
  <c r="L60" i="8" s="1"/>
  <c r="J58" i="8"/>
  <c r="L58" i="8" s="1"/>
  <c r="J56" i="8"/>
  <c r="L56" i="8" s="1"/>
  <c r="L55" i="8"/>
  <c r="J55" i="8"/>
  <c r="J54" i="8"/>
  <c r="L54" i="8" s="1"/>
  <c r="J52" i="8"/>
  <c r="L52" i="8" s="1"/>
  <c r="J51" i="8"/>
  <c r="L51" i="8" s="1"/>
  <c r="L50" i="8"/>
  <c r="J50" i="8"/>
  <c r="J49" i="8"/>
  <c r="L49" i="8" s="1"/>
  <c r="J48" i="8"/>
  <c r="L48" i="8" s="1"/>
  <c r="J47" i="8"/>
  <c r="L47" i="8" s="1"/>
  <c r="L44" i="8"/>
  <c r="J44" i="8"/>
  <c r="L36" i="8"/>
  <c r="J36" i="8"/>
  <c r="J32" i="8"/>
  <c r="L32" i="8" s="1"/>
  <c r="J31" i="8"/>
  <c r="L31" i="8" s="1"/>
  <c r="L29" i="8"/>
  <c r="J29" i="8"/>
  <c r="J28" i="8"/>
  <c r="L28" i="8" s="1"/>
  <c r="J27" i="8"/>
  <c r="L27" i="8" s="1"/>
  <c r="J26" i="8"/>
  <c r="L26" i="8" s="1"/>
  <c r="L24" i="8"/>
  <c r="J24" i="8"/>
  <c r="J22" i="8"/>
  <c r="L22" i="8" s="1"/>
  <c r="J20" i="8"/>
  <c r="L20" i="8" s="1"/>
  <c r="J19" i="8"/>
  <c r="L19" i="8" s="1"/>
  <c r="L16" i="8"/>
  <c r="J16" i="8"/>
  <c r="L15" i="8"/>
  <c r="J15" i="8"/>
  <c r="J14" i="8"/>
  <c r="L14" i="8" s="1"/>
  <c r="J12" i="8"/>
  <c r="L12" i="8" s="1"/>
  <c r="L11" i="8"/>
  <c r="J11" i="8"/>
  <c r="J10" i="8"/>
  <c r="L10" i="8" s="1"/>
  <c r="J8" i="8"/>
  <c r="L8" i="8" s="1"/>
  <c r="H25" i="7"/>
  <c r="H24" i="7"/>
  <c r="H23" i="7"/>
  <c r="H22" i="7"/>
  <c r="H21" i="7"/>
  <c r="H20" i="7"/>
  <c r="H19" i="7"/>
  <c r="H18" i="7"/>
  <c r="H17" i="7"/>
  <c r="H16" i="7"/>
  <c r="H15" i="7"/>
  <c r="H14" i="7"/>
  <c r="H13" i="7"/>
  <c r="H12" i="7"/>
  <c r="H11" i="7"/>
  <c r="H10" i="7"/>
  <c r="H9" i="7"/>
  <c r="H8" i="7"/>
  <c r="H7" i="7"/>
  <c r="G15" i="6"/>
  <c r="E15" i="6"/>
  <c r="G14" i="6"/>
  <c r="E14" i="6"/>
  <c r="E13" i="6"/>
  <c r="G13" i="6" s="1"/>
  <c r="G12" i="6"/>
  <c r="E12" i="6"/>
  <c r="G11" i="6"/>
  <c r="E11" i="6"/>
  <c r="G10" i="6"/>
  <c r="E10" i="6"/>
  <c r="E9" i="6"/>
  <c r="G9" i="6" s="1"/>
  <c r="G8" i="6"/>
  <c r="E8" i="6"/>
  <c r="G7" i="6"/>
  <c r="E7" i="6"/>
  <c r="B130" i="5"/>
  <c r="B128" i="5"/>
  <c r="B127" i="5"/>
  <c r="B126" i="5"/>
  <c r="B125" i="5"/>
  <c r="B124" i="5"/>
  <c r="H113" i="5"/>
  <c r="H110" i="5"/>
  <c r="H86" i="5"/>
  <c r="H47" i="5"/>
  <c r="H82" i="5" s="1"/>
  <c r="H36" i="5"/>
  <c r="I23" i="5"/>
  <c r="I55" i="5" s="1"/>
  <c r="I61" i="5" s="1"/>
  <c r="B130" i="4"/>
  <c r="B128" i="4"/>
  <c r="B127" i="4"/>
  <c r="B126" i="4"/>
  <c r="B125" i="4"/>
  <c r="B124" i="4"/>
  <c r="H113" i="4"/>
  <c r="H110" i="4"/>
  <c r="H86" i="4"/>
  <c r="K68" i="4"/>
  <c r="H47" i="4"/>
  <c r="H36" i="4"/>
  <c r="I23" i="4"/>
  <c r="I25" i="4" s="1"/>
  <c r="A67" i="3"/>
  <c r="A60" i="3"/>
  <c r="A53" i="3"/>
  <c r="A46" i="3"/>
  <c r="F39" i="3"/>
  <c r="A39" i="3"/>
  <c r="F32" i="3"/>
  <c r="A32" i="3"/>
  <c r="F25" i="3"/>
  <c r="A25" i="3"/>
  <c r="O22" i="3"/>
  <c r="K18" i="3"/>
  <c r="F18" i="3"/>
  <c r="A18" i="3"/>
  <c r="O15" i="3"/>
  <c r="K11" i="3"/>
  <c r="F11" i="3"/>
  <c r="A11" i="3"/>
  <c r="W8" i="3"/>
  <c r="O8" i="3"/>
  <c r="AA4" i="3"/>
  <c r="S4" i="3"/>
  <c r="K4" i="3"/>
  <c r="F4" i="3"/>
  <c r="A4" i="3"/>
  <c r="I184" i="2"/>
  <c r="G184" i="2"/>
  <c r="F184" i="2"/>
  <c r="E184" i="2"/>
  <c r="H184" i="2" s="1"/>
  <c r="G183" i="2"/>
  <c r="F183" i="2"/>
  <c r="E183" i="2"/>
  <c r="G182" i="2"/>
  <c r="E182" i="2"/>
  <c r="E181" i="2"/>
  <c r="F180" i="2" s="1"/>
  <c r="G180" i="2"/>
  <c r="E180" i="2"/>
  <c r="E179" i="2"/>
  <c r="G179" i="2" s="1"/>
  <c r="E178" i="2"/>
  <c r="G178" i="2" s="1"/>
  <c r="G177" i="2"/>
  <c r="E177" i="2"/>
  <c r="E176" i="2"/>
  <c r="G176" i="2" s="1"/>
  <c r="E175" i="2"/>
  <c r="G175" i="2" s="1"/>
  <c r="G174" i="2"/>
  <c r="E174" i="2"/>
  <c r="E173" i="2"/>
  <c r="G173" i="2" s="1"/>
  <c r="G172" i="2"/>
  <c r="E172" i="2"/>
  <c r="G171" i="2"/>
  <c r="E171" i="2"/>
  <c r="G170" i="2"/>
  <c r="E170" i="2"/>
  <c r="E169" i="2"/>
  <c r="G169" i="2" s="1"/>
  <c r="E168" i="2"/>
  <c r="G168" i="2" s="1"/>
  <c r="G167" i="2"/>
  <c r="E167" i="2"/>
  <c r="F158" i="2"/>
  <c r="E158" i="2"/>
  <c r="H158" i="2" s="1"/>
  <c r="I158" i="2" s="1"/>
  <c r="E157" i="2"/>
  <c r="G157" i="2" s="1"/>
  <c r="E156" i="2"/>
  <c r="G156" i="2" s="1"/>
  <c r="E155" i="2"/>
  <c r="G155" i="2" s="1"/>
  <c r="E154" i="2"/>
  <c r="G154" i="2" s="1"/>
  <c r="E153" i="2"/>
  <c r="G153" i="2" s="1"/>
  <c r="E152" i="2"/>
  <c r="G152" i="2" s="1"/>
  <c r="E151" i="2"/>
  <c r="G151" i="2" s="1"/>
  <c r="G150" i="2"/>
  <c r="E150" i="2"/>
  <c r="G149" i="2"/>
  <c r="E149" i="2"/>
  <c r="G148" i="2"/>
  <c r="E148" i="2"/>
  <c r="F148" i="2" s="1"/>
  <c r="E147" i="2"/>
  <c r="G147" i="2" s="1"/>
  <c r="E146" i="2"/>
  <c r="G146" i="2" s="1"/>
  <c r="G145" i="2"/>
  <c r="E145" i="2"/>
  <c r="G144" i="2"/>
  <c r="E144" i="2"/>
  <c r="E143" i="2"/>
  <c r="G143" i="2" s="1"/>
  <c r="E142" i="2"/>
  <c r="E141" i="2"/>
  <c r="G141" i="2" s="1"/>
  <c r="F132" i="2"/>
  <c r="E132" i="2"/>
  <c r="H132" i="2" s="1"/>
  <c r="I132" i="2" s="1"/>
  <c r="G131" i="2"/>
  <c r="F131" i="2"/>
  <c r="E131" i="2"/>
  <c r="G130" i="2"/>
  <c r="E130" i="2"/>
  <c r="E129" i="2"/>
  <c r="G128" i="2"/>
  <c r="E128" i="2"/>
  <c r="G127" i="2"/>
  <c r="E127" i="2"/>
  <c r="E126" i="2"/>
  <c r="G126" i="2" s="1"/>
  <c r="E125" i="2"/>
  <c r="G125" i="2" s="1"/>
  <c r="E124" i="2"/>
  <c r="G124" i="2" s="1"/>
  <c r="E123" i="2"/>
  <c r="G123" i="2" s="1"/>
  <c r="E122" i="2"/>
  <c r="G122" i="2" s="1"/>
  <c r="E121" i="2"/>
  <c r="G121" i="2" s="1"/>
  <c r="E120" i="2"/>
  <c r="G120" i="2" s="1"/>
  <c r="E119" i="2"/>
  <c r="G119" i="2" s="1"/>
  <c r="G118" i="2"/>
  <c r="E118" i="2"/>
  <c r="G117" i="2"/>
  <c r="E117" i="2"/>
  <c r="E116" i="2"/>
  <c r="G116" i="2" s="1"/>
  <c r="F115" i="2"/>
  <c r="E115" i="2"/>
  <c r="G115" i="2" s="1"/>
  <c r="E106" i="2"/>
  <c r="H106" i="2" s="1"/>
  <c r="I106" i="2" s="1"/>
  <c r="G105" i="2"/>
  <c r="F105" i="2"/>
  <c r="E105" i="2"/>
  <c r="G104" i="2"/>
  <c r="E104" i="2"/>
  <c r="E103" i="2"/>
  <c r="G103" i="2" s="1"/>
  <c r="F102" i="2"/>
  <c r="E102" i="2"/>
  <c r="G102" i="2" s="1"/>
  <c r="G101" i="2"/>
  <c r="E101" i="2"/>
  <c r="E100" i="2"/>
  <c r="G100" i="2" s="1"/>
  <c r="E99" i="2"/>
  <c r="G99" i="2" s="1"/>
  <c r="E98" i="2"/>
  <c r="G98" i="2" s="1"/>
  <c r="E97" i="2"/>
  <c r="G97" i="2" s="1"/>
  <c r="E96" i="2"/>
  <c r="E95" i="2"/>
  <c r="G95" i="2" s="1"/>
  <c r="E94" i="2"/>
  <c r="G94" i="2" s="1"/>
  <c r="E93" i="2"/>
  <c r="G93" i="2" s="1"/>
  <c r="E92" i="2"/>
  <c r="G92" i="2" s="1"/>
  <c r="G91" i="2"/>
  <c r="E91" i="2"/>
  <c r="E90" i="2"/>
  <c r="G90" i="2" s="1"/>
  <c r="E89" i="2"/>
  <c r="G89" i="2" s="1"/>
  <c r="E80" i="2"/>
  <c r="H80" i="2" s="1"/>
  <c r="I80" i="2" s="1"/>
  <c r="E79" i="2"/>
  <c r="G79" i="2" s="1"/>
  <c r="G78" i="2"/>
  <c r="E78" i="2"/>
  <c r="G77" i="2"/>
  <c r="E77" i="2"/>
  <c r="E76" i="2"/>
  <c r="G76" i="2" s="1"/>
  <c r="G75" i="2"/>
  <c r="E75" i="2"/>
  <c r="G74" i="2"/>
  <c r="E74" i="2"/>
  <c r="E73" i="2"/>
  <c r="G73" i="2" s="1"/>
  <c r="E72" i="2"/>
  <c r="G72" i="2" s="1"/>
  <c r="E71" i="2"/>
  <c r="F70" i="2" s="1"/>
  <c r="E70" i="2"/>
  <c r="G70" i="2" s="1"/>
  <c r="E68" i="2"/>
  <c r="G68" i="2" s="1"/>
  <c r="E67" i="2"/>
  <c r="G67" i="2" s="1"/>
  <c r="G66" i="2"/>
  <c r="E66" i="2"/>
  <c r="G65" i="2"/>
  <c r="E65" i="2"/>
  <c r="G64" i="2"/>
  <c r="E64" i="2"/>
  <c r="G54" i="2"/>
  <c r="E54" i="2"/>
  <c r="F54" i="2" s="1"/>
  <c r="E53" i="2"/>
  <c r="E52" i="2"/>
  <c r="G52" i="2" s="1"/>
  <c r="E51" i="2"/>
  <c r="G51" i="2" s="1"/>
  <c r="G50" i="2"/>
  <c r="E50" i="2"/>
  <c r="F50" i="2" s="1"/>
  <c r="G49" i="2"/>
  <c r="E49" i="2"/>
  <c r="E48" i="2"/>
  <c r="G48" i="2" s="1"/>
  <c r="G47" i="2"/>
  <c r="E47" i="2"/>
  <c r="E46" i="2"/>
  <c r="G46" i="2" s="1"/>
  <c r="E45" i="2"/>
  <c r="F44" i="2" s="1"/>
  <c r="E44" i="2"/>
  <c r="G44" i="2" s="1"/>
  <c r="E41" i="2"/>
  <c r="G41" i="2" s="1"/>
  <c r="E40" i="2"/>
  <c r="G40" i="2" s="1"/>
  <c r="E39" i="2"/>
  <c r="G39" i="2" s="1"/>
  <c r="G38" i="2"/>
  <c r="E38" i="2"/>
  <c r="E37" i="2"/>
  <c r="G37" i="2" s="1"/>
  <c r="G36" i="2"/>
  <c r="E36" i="2"/>
  <c r="E35" i="2"/>
  <c r="G35" i="2" s="1"/>
  <c r="E34" i="2"/>
  <c r="G34" i="2" s="1"/>
  <c r="H25" i="2"/>
  <c r="I25" i="2" s="1"/>
  <c r="G25" i="2"/>
  <c r="F25" i="2"/>
  <c r="E25" i="2"/>
  <c r="E24" i="2"/>
  <c r="G24" i="2" s="1"/>
  <c r="G23" i="2"/>
  <c r="E23" i="2"/>
  <c r="E22" i="2"/>
  <c r="G22" i="2" s="1"/>
  <c r="E21" i="2"/>
  <c r="G21" i="2" s="1"/>
  <c r="G20" i="2"/>
  <c r="E20" i="2"/>
  <c r="E19" i="2"/>
  <c r="G19" i="2" s="1"/>
  <c r="E18" i="2"/>
  <c r="G18" i="2" s="1"/>
  <c r="E17" i="2"/>
  <c r="G17" i="2" s="1"/>
  <c r="E15" i="2"/>
  <c r="G15" i="2" s="1"/>
  <c r="G11" i="2"/>
  <c r="E11" i="2"/>
  <c r="E10" i="2"/>
  <c r="G10" i="2" s="1"/>
  <c r="G9" i="2"/>
  <c r="E9" i="2"/>
  <c r="E7" i="2"/>
  <c r="G7" i="2" s="1"/>
  <c r="G4" i="1"/>
  <c r="G9" i="1" s="1"/>
  <c r="H72" i="5" l="1"/>
  <c r="I24" i="5"/>
  <c r="I25" i="5"/>
  <c r="H26" i="7"/>
  <c r="H27" i="7" s="1"/>
  <c r="I96" i="5" s="1"/>
  <c r="I100" i="5" s="1"/>
  <c r="I128" i="5" s="1"/>
  <c r="G16" i="6"/>
  <c r="G17" i="6" s="1"/>
  <c r="I96" i="4" s="1"/>
  <c r="L80" i="8"/>
  <c r="F21" i="2"/>
  <c r="F24" i="2"/>
  <c r="F128" i="2"/>
  <c r="G129" i="2"/>
  <c r="G133" i="2" s="1"/>
  <c r="G134" i="2" s="1"/>
  <c r="F6" i="1" s="1"/>
  <c r="E21" i="11"/>
  <c r="F22" i="11"/>
  <c r="G45" i="2"/>
  <c r="F167" i="2"/>
  <c r="H82" i="4"/>
  <c r="G53" i="2"/>
  <c r="F53" i="2"/>
  <c r="G185" i="2"/>
  <c r="G186" i="2" s="1"/>
  <c r="F8" i="1" s="1"/>
  <c r="L70" i="10"/>
  <c r="G96" i="2"/>
  <c r="G107" i="2" s="1"/>
  <c r="G108" i="2" s="1"/>
  <c r="F5" i="1" s="1"/>
  <c r="F96" i="2"/>
  <c r="F141" i="2"/>
  <c r="G142" i="2"/>
  <c r="N4" i="9"/>
  <c r="L47" i="9"/>
  <c r="G132" i="2"/>
  <c r="I55" i="4"/>
  <c r="I61" i="4" s="1"/>
  <c r="F80" i="2"/>
  <c r="F174" i="2"/>
  <c r="G127" i="12"/>
  <c r="M11" i="13"/>
  <c r="G80" i="2"/>
  <c r="H72" i="4"/>
  <c r="G71" i="2"/>
  <c r="F122" i="2"/>
  <c r="F133" i="2" s="1"/>
  <c r="G158" i="2"/>
  <c r="G181" i="2"/>
  <c r="M11" i="12"/>
  <c r="F76" i="2"/>
  <c r="F79" i="2"/>
  <c r="F89" i="2"/>
  <c r="F106" i="2"/>
  <c r="I30" i="4"/>
  <c r="I67" i="4" s="1"/>
  <c r="F24" i="11"/>
  <c r="T46" i="12"/>
  <c r="T15" i="12"/>
  <c r="G106" i="2"/>
  <c r="F154" i="2"/>
  <c r="F157" i="2"/>
  <c r="M70" i="10"/>
  <c r="C6" i="11"/>
  <c r="S40" i="12"/>
  <c r="Q34" i="13"/>
  <c r="G122" i="14"/>
  <c r="S28" i="14"/>
  <c r="G144" i="17"/>
  <c r="Q38" i="12"/>
  <c r="T44" i="13"/>
  <c r="T49" i="13" s="1"/>
  <c r="M12" i="14"/>
  <c r="T30" i="12"/>
  <c r="S46" i="16"/>
  <c r="Q39" i="12"/>
  <c r="T35" i="13"/>
  <c r="S35" i="13"/>
  <c r="T42" i="13"/>
  <c r="G175" i="13"/>
  <c r="G254" i="13"/>
  <c r="T43" i="14"/>
  <c r="C8" i="11"/>
  <c r="C12" i="11"/>
  <c r="G275" i="13"/>
  <c r="G81" i="16"/>
  <c r="S41" i="16"/>
  <c r="C16" i="11"/>
  <c r="Q28" i="13"/>
  <c r="G186" i="13"/>
  <c r="D275" i="13"/>
  <c r="T46" i="14"/>
  <c r="T48" i="14" s="1"/>
  <c r="S35" i="14"/>
  <c r="T45" i="16"/>
  <c r="S45" i="16"/>
  <c r="T49" i="15"/>
  <c r="T54" i="15" s="1"/>
  <c r="T18" i="15"/>
  <c r="S40" i="15"/>
  <c r="T51" i="15"/>
  <c r="T53" i="15" s="1"/>
  <c r="S33" i="15"/>
  <c r="S51" i="15" s="1"/>
  <c r="T39" i="16"/>
  <c r="T46" i="16" s="1"/>
  <c r="T48" i="16" s="1"/>
  <c r="M20" i="17"/>
  <c r="G120" i="15"/>
  <c r="M15" i="16"/>
  <c r="T49" i="17"/>
  <c r="T46" i="17"/>
  <c r="T48" i="17" s="1"/>
  <c r="S35" i="17"/>
  <c r="T7" i="15"/>
  <c r="T15" i="16"/>
  <c r="T44" i="16"/>
  <c r="T49" i="16" s="1"/>
  <c r="T36" i="17"/>
  <c r="M20" i="15"/>
  <c r="S28" i="17"/>
  <c r="I30" i="5" l="1"/>
  <c r="T34" i="13"/>
  <c r="E69" i="2"/>
  <c r="G69" i="2" s="1"/>
  <c r="T55" i="12"/>
  <c r="T28" i="13"/>
  <c r="T46" i="13" s="1"/>
  <c r="T48" i="13" s="1"/>
  <c r="S28" i="13"/>
  <c r="S46" i="13" s="1"/>
  <c r="C5" i="11"/>
  <c r="E63" i="2"/>
  <c r="G159" i="2"/>
  <c r="G160" i="2" s="1"/>
  <c r="F7" i="1" s="1"/>
  <c r="S46" i="14"/>
  <c r="F8" i="11"/>
  <c r="E8" i="2"/>
  <c r="G8" i="2" s="1"/>
  <c r="S46" i="17"/>
  <c r="F16" i="11"/>
  <c r="E15" i="11"/>
  <c r="E16" i="2"/>
  <c r="F6" i="11"/>
  <c r="E6" i="2"/>
  <c r="G6" i="2" s="1"/>
  <c r="I79" i="4"/>
  <c r="I81" i="4"/>
  <c r="I76" i="4"/>
  <c r="I69" i="4"/>
  <c r="I78" i="4"/>
  <c r="I70" i="4"/>
  <c r="I35" i="4"/>
  <c r="I34" i="4"/>
  <c r="I77" i="4"/>
  <c r="I85" i="4"/>
  <c r="I86" i="4" s="1"/>
  <c r="I91" i="4" s="1"/>
  <c r="I68" i="4"/>
  <c r="I66" i="4"/>
  <c r="I71" i="4"/>
  <c r="I124" i="4"/>
  <c r="I80" i="4"/>
  <c r="N47" i="9"/>
  <c r="O4" i="9"/>
  <c r="O47" i="9" s="1"/>
  <c r="F159" i="2"/>
  <c r="F12" i="11"/>
  <c r="E12" i="2"/>
  <c r="G12" i="2" s="1"/>
  <c r="T39" i="12"/>
  <c r="C14" i="11"/>
  <c r="E43" i="2"/>
  <c r="G43" i="2" s="1"/>
  <c r="T38" i="12"/>
  <c r="T51" i="12" s="1"/>
  <c r="T54" i="12" s="1"/>
  <c r="C13" i="11"/>
  <c r="E42" i="2"/>
  <c r="F107" i="2"/>
  <c r="F185" i="2"/>
  <c r="S29" i="12"/>
  <c r="S51" i="12" s="1"/>
  <c r="I71" i="5" l="1"/>
  <c r="I124" i="5"/>
  <c r="I79" i="5"/>
  <c r="I70" i="5"/>
  <c r="I77" i="5"/>
  <c r="I78" i="5"/>
  <c r="I66" i="5"/>
  <c r="I35" i="5"/>
  <c r="I85" i="5"/>
  <c r="I86" i="5" s="1"/>
  <c r="I91" i="5" s="1"/>
  <c r="I69" i="5"/>
  <c r="I67" i="5"/>
  <c r="I34" i="5"/>
  <c r="I36" i="5" s="1"/>
  <c r="I59" i="5" s="1"/>
  <c r="I68" i="5"/>
  <c r="I80" i="5"/>
  <c r="I76" i="5"/>
  <c r="I81" i="5"/>
  <c r="I72" i="4"/>
  <c r="I126" i="4" s="1"/>
  <c r="I82" i="4"/>
  <c r="I90" i="4" s="1"/>
  <c r="I92" i="4" s="1"/>
  <c r="I127" i="4" s="1"/>
  <c r="F5" i="11"/>
  <c r="E5" i="11"/>
  <c r="E26" i="11" s="1"/>
  <c r="E5" i="2"/>
  <c r="G63" i="2"/>
  <c r="G81" i="2" s="1"/>
  <c r="G82" i="2" s="1"/>
  <c r="F4" i="1" s="1"/>
  <c r="F63" i="2"/>
  <c r="F81" i="2" s="1"/>
  <c r="G42" i="2"/>
  <c r="G55" i="2" s="1"/>
  <c r="G56" i="2" s="1"/>
  <c r="F3" i="1" s="1"/>
  <c r="F9" i="1" s="1"/>
  <c r="F34" i="2"/>
  <c r="F55" i="2" s="1"/>
  <c r="I36" i="4"/>
  <c r="F13" i="11"/>
  <c r="E13" i="2"/>
  <c r="G13" i="2" s="1"/>
  <c r="F14" i="11"/>
  <c r="E14" i="2"/>
  <c r="G14" i="2" s="1"/>
  <c r="G16" i="2"/>
  <c r="F15" i="2"/>
  <c r="I82" i="5" l="1"/>
  <c r="I90" i="5" s="1"/>
  <c r="I92" i="5" s="1"/>
  <c r="I127" i="5" s="1"/>
  <c r="I72" i="5"/>
  <c r="I126" i="5" s="1"/>
  <c r="L37" i="5"/>
  <c r="G5" i="2"/>
  <c r="G26" i="2" s="1"/>
  <c r="G27" i="2" s="1"/>
  <c r="F5" i="2"/>
  <c r="F26" i="2" s="1"/>
  <c r="I59" i="4"/>
  <c r="L37" i="4"/>
  <c r="F26" i="11"/>
  <c r="F28" i="11" s="1"/>
  <c r="I40" i="5" l="1"/>
  <c r="I39" i="5"/>
  <c r="I42" i="5"/>
  <c r="I45" i="5"/>
  <c r="I43" i="5"/>
  <c r="I46" i="5"/>
  <c r="I44" i="5"/>
  <c r="I41" i="5"/>
  <c r="I45" i="4"/>
  <c r="I40" i="4"/>
  <c r="I46" i="4"/>
  <c r="I44" i="4"/>
  <c r="I43" i="4"/>
  <c r="I42" i="4"/>
  <c r="I41" i="4"/>
  <c r="I39" i="4"/>
  <c r="C81" i="8"/>
  <c r="L81" i="8" s="1"/>
  <c r="I97" i="4" s="1"/>
  <c r="C48" i="9"/>
  <c r="C71" i="10"/>
  <c r="I47" i="5" l="1"/>
  <c r="I60" i="5" s="1"/>
  <c r="I62" i="5" s="1"/>
  <c r="I125" i="5" s="1"/>
  <c r="I129" i="5" s="1"/>
  <c r="I104" i="5" s="1"/>
  <c r="I105" i="5" s="1"/>
  <c r="I116" i="5" s="1"/>
  <c r="I118" i="5" s="1"/>
  <c r="I108" i="5" s="1"/>
  <c r="M71" i="10"/>
  <c r="L71" i="10"/>
  <c r="I99" i="4" s="1"/>
  <c r="O48" i="9"/>
  <c r="N48" i="9"/>
  <c r="I98" i="4" s="1"/>
  <c r="I47" i="4"/>
  <c r="I60" i="4" s="1"/>
  <c r="I62" i="4" s="1"/>
  <c r="I125" i="4" s="1"/>
  <c r="I107" i="5" l="1"/>
  <c r="I109" i="5"/>
  <c r="I120" i="5"/>
  <c r="I100" i="4"/>
  <c r="I128" i="4" s="1"/>
  <c r="I129" i="4"/>
  <c r="I110" i="5" l="1"/>
  <c r="I130" i="5" s="1"/>
  <c r="I131" i="5" s="1"/>
  <c r="X8" i="3" s="1"/>
  <c r="Y8" i="3" s="1"/>
  <c r="Y10" i="3" s="1"/>
  <c r="D24" i="2" s="1"/>
  <c r="D105" i="2" s="1"/>
  <c r="H105" i="2" s="1"/>
  <c r="I105" i="2" s="1"/>
  <c r="I104" i="4"/>
  <c r="P8" i="3" l="1"/>
  <c r="Q8" i="3" s="1"/>
  <c r="Q10" i="3" s="1"/>
  <c r="D21" i="2" s="1"/>
  <c r="D50" i="2" s="1"/>
  <c r="D76" i="2" s="1"/>
  <c r="H76" i="2" s="1"/>
  <c r="I76" i="2" s="1"/>
  <c r="D53" i="2"/>
  <c r="D79" i="2" s="1"/>
  <c r="H79" i="2" s="1"/>
  <c r="I79" i="2" s="1"/>
  <c r="D131" i="2"/>
  <c r="H131" i="2" s="1"/>
  <c r="I131" i="2" s="1"/>
  <c r="H24" i="2"/>
  <c r="I24" i="2" s="1"/>
  <c r="D183" i="2"/>
  <c r="H183" i="2" s="1"/>
  <c r="I183" i="2" s="1"/>
  <c r="D157" i="2"/>
  <c r="H157" i="2" s="1"/>
  <c r="I157" i="2" s="1"/>
  <c r="I105" i="4"/>
  <c r="I116" i="4" s="1"/>
  <c r="I118" i="4" s="1"/>
  <c r="H53" i="2" l="1"/>
  <c r="I53" i="2" s="1"/>
  <c r="D128" i="2"/>
  <c r="H128" i="2" s="1"/>
  <c r="I128" i="2" s="1"/>
  <c r="D154" i="2"/>
  <c r="H154" i="2" s="1"/>
  <c r="I154" i="2" s="1"/>
  <c r="D180" i="2"/>
  <c r="H180" i="2" s="1"/>
  <c r="I180" i="2" s="1"/>
  <c r="H50" i="2"/>
  <c r="I50" i="2" s="1"/>
  <c r="H21" i="2"/>
  <c r="I21" i="2" s="1"/>
  <c r="D102" i="2"/>
  <c r="H102" i="2" s="1"/>
  <c r="I102" i="2" s="1"/>
  <c r="I107" i="4"/>
  <c r="I120" i="4"/>
  <c r="I109" i="4"/>
  <c r="I108" i="4"/>
  <c r="I110" i="4" l="1"/>
  <c r="I130" i="4" s="1"/>
  <c r="I131" i="4" s="1"/>
  <c r="C49" i="3" s="1"/>
  <c r="D49" i="3" s="1"/>
  <c r="D51" i="3" s="1"/>
  <c r="D14" i="2" s="1"/>
  <c r="H35" i="3" l="1"/>
  <c r="I35" i="3" s="1"/>
  <c r="I37" i="3" s="1"/>
  <c r="D19" i="2" s="1"/>
  <c r="D100" i="2" s="1"/>
  <c r="H100" i="2" s="1"/>
  <c r="I100" i="2" s="1"/>
  <c r="AC7" i="3"/>
  <c r="AD7" i="3" s="1"/>
  <c r="AD9" i="3" s="1"/>
  <c r="D54" i="2" s="1"/>
  <c r="H54" i="2" s="1"/>
  <c r="I54" i="2" s="1"/>
  <c r="P15" i="3"/>
  <c r="Q15" i="3" s="1"/>
  <c r="Q17" i="3" s="1"/>
  <c r="D22" i="2" s="1"/>
  <c r="D155" i="2" s="1"/>
  <c r="H155" i="2" s="1"/>
  <c r="I155" i="2" s="1"/>
  <c r="H28" i="3"/>
  <c r="I28" i="3" s="1"/>
  <c r="I30" i="3" s="1"/>
  <c r="D18" i="2" s="1"/>
  <c r="C70" i="3"/>
  <c r="D70" i="3" s="1"/>
  <c r="D72" i="3" s="1"/>
  <c r="D8" i="2" s="1"/>
  <c r="H8" i="2" s="1"/>
  <c r="I8" i="2" s="1"/>
  <c r="C63" i="3"/>
  <c r="D63" i="3" s="1"/>
  <c r="D65" i="3" s="1"/>
  <c r="D7" i="2" s="1"/>
  <c r="H7" i="2" s="1"/>
  <c r="I7" i="2" s="1"/>
  <c r="C56" i="3"/>
  <c r="D56" i="3" s="1"/>
  <c r="D58" i="3" s="1"/>
  <c r="D13" i="2" s="1"/>
  <c r="H13" i="2" s="1"/>
  <c r="I13" i="2" s="1"/>
  <c r="H42" i="3"/>
  <c r="I42" i="3" s="1"/>
  <c r="I44" i="3" s="1"/>
  <c r="D20" i="2" s="1"/>
  <c r="D101" i="2" s="1"/>
  <c r="H101" i="2" s="1"/>
  <c r="I101" i="2" s="1"/>
  <c r="H14" i="3"/>
  <c r="I14" i="3" s="1"/>
  <c r="I16" i="3" s="1"/>
  <c r="D16" i="2" s="1"/>
  <c r="D97" i="2" s="1"/>
  <c r="H97" i="2" s="1"/>
  <c r="I97" i="2" s="1"/>
  <c r="C42" i="3"/>
  <c r="D42" i="3" s="1"/>
  <c r="D44" i="3" s="1"/>
  <c r="D12" i="2" s="1"/>
  <c r="D172" i="2" s="1"/>
  <c r="H172" i="2" s="1"/>
  <c r="I172" i="2" s="1"/>
  <c r="C21" i="3"/>
  <c r="D21" i="3" s="1"/>
  <c r="D23" i="3" s="1"/>
  <c r="D9" i="2" s="1"/>
  <c r="D117" i="2" s="1"/>
  <c r="H117" i="2" s="1"/>
  <c r="I117" i="2" s="1"/>
  <c r="C7" i="3"/>
  <c r="D7" i="3" s="1"/>
  <c r="D9" i="3" s="1"/>
  <c r="D5" i="2" s="1"/>
  <c r="D141" i="2" s="1"/>
  <c r="H141" i="2" s="1"/>
  <c r="C35" i="3"/>
  <c r="D35" i="3" s="1"/>
  <c r="D37" i="3" s="1"/>
  <c r="D11" i="2" s="1"/>
  <c r="H11" i="2" s="1"/>
  <c r="I11" i="2" s="1"/>
  <c r="P22" i="3"/>
  <c r="Q22" i="3" s="1"/>
  <c r="Q24" i="3" s="1"/>
  <c r="D23" i="2" s="1"/>
  <c r="D104" i="2" s="1"/>
  <c r="H104" i="2" s="1"/>
  <c r="I104" i="2" s="1"/>
  <c r="C14" i="3"/>
  <c r="D14" i="3" s="1"/>
  <c r="D16" i="3" s="1"/>
  <c r="D6" i="2" s="1"/>
  <c r="D90" i="2" s="1"/>
  <c r="H90" i="2" s="1"/>
  <c r="I90" i="2" s="1"/>
  <c r="H21" i="3"/>
  <c r="I21" i="3" s="1"/>
  <c r="I23" i="3" s="1"/>
  <c r="D17" i="2" s="1"/>
  <c r="D176" i="2" s="1"/>
  <c r="H176" i="2" s="1"/>
  <c r="I176" i="2" s="1"/>
  <c r="H7" i="3"/>
  <c r="I7" i="3" s="1"/>
  <c r="I9" i="3" s="1"/>
  <c r="D15" i="2" s="1"/>
  <c r="D174" i="2" s="1"/>
  <c r="H174" i="2" s="1"/>
  <c r="I174" i="2" s="1"/>
  <c r="C28" i="3"/>
  <c r="D28" i="3" s="1"/>
  <c r="D30" i="3" s="1"/>
  <c r="D10" i="2" s="1"/>
  <c r="H10" i="2" s="1"/>
  <c r="I10" i="2" s="1"/>
  <c r="D94" i="2"/>
  <c r="H94" i="2" s="1"/>
  <c r="I94" i="2" s="1"/>
  <c r="H12" i="2"/>
  <c r="I12" i="2" s="1"/>
  <c r="D41" i="2"/>
  <c r="H41" i="2" s="1"/>
  <c r="I41" i="2" s="1"/>
  <c r="D89" i="2"/>
  <c r="H89" i="2" s="1"/>
  <c r="D181" i="2"/>
  <c r="H181" i="2" s="1"/>
  <c r="I181" i="2" s="1"/>
  <c r="D177" i="2"/>
  <c r="H177" i="2" s="1"/>
  <c r="I177" i="2" s="1"/>
  <c r="D99" i="2"/>
  <c r="H99" i="2" s="1"/>
  <c r="I99" i="2" s="1"/>
  <c r="D151" i="2"/>
  <c r="H151" i="2" s="1"/>
  <c r="I151" i="2" s="1"/>
  <c r="D125" i="2"/>
  <c r="H125" i="2" s="1"/>
  <c r="I125" i="2" s="1"/>
  <c r="H18" i="2"/>
  <c r="I18" i="2" s="1"/>
  <c r="D47" i="2"/>
  <c r="D144" i="2"/>
  <c r="H144" i="2" s="1"/>
  <c r="I144" i="2" s="1"/>
  <c r="D69" i="2"/>
  <c r="H69" i="2" s="1"/>
  <c r="I69" i="2" s="1"/>
  <c r="D121" i="2"/>
  <c r="H121" i="2" s="1"/>
  <c r="I121" i="2" s="1"/>
  <c r="D173" i="2"/>
  <c r="H173" i="2" s="1"/>
  <c r="I173" i="2" s="1"/>
  <c r="D95" i="2"/>
  <c r="H95" i="2" s="1"/>
  <c r="I95" i="2" s="1"/>
  <c r="D43" i="2"/>
  <c r="H43" i="2" s="1"/>
  <c r="I43" i="2" s="1"/>
  <c r="D147" i="2"/>
  <c r="H147" i="2" s="1"/>
  <c r="I147" i="2" s="1"/>
  <c r="H14" i="2"/>
  <c r="I14" i="2" s="1"/>
  <c r="D126" i="2"/>
  <c r="H126" i="2" s="1"/>
  <c r="I126" i="2" s="1"/>
  <c r="D143" i="2"/>
  <c r="H143" i="2" s="1"/>
  <c r="I143" i="2" s="1"/>
  <c r="D38" i="2"/>
  <c r="H38" i="2" s="1"/>
  <c r="I38" i="2" s="1"/>
  <c r="H6" i="2" l="1"/>
  <c r="I6" i="2" s="1"/>
  <c r="D116" i="2"/>
  <c r="H116" i="2" s="1"/>
  <c r="I116" i="2" s="1"/>
  <c r="D175" i="2"/>
  <c r="H175" i="2" s="1"/>
  <c r="I175" i="2" s="1"/>
  <c r="H19" i="2"/>
  <c r="I19" i="2" s="1"/>
  <c r="D39" i="2"/>
  <c r="H39" i="2" s="1"/>
  <c r="I39" i="2" s="1"/>
  <c r="D35" i="2"/>
  <c r="H35" i="2" s="1"/>
  <c r="I35" i="2" s="1"/>
  <c r="D65" i="2"/>
  <c r="H65" i="2" s="1"/>
  <c r="I65" i="2" s="1"/>
  <c r="D66" i="2"/>
  <c r="H66" i="2" s="1"/>
  <c r="I66" i="2" s="1"/>
  <c r="D168" i="2"/>
  <c r="H168" i="2" s="1"/>
  <c r="I168" i="2" s="1"/>
  <c r="D120" i="2"/>
  <c r="H120" i="2" s="1"/>
  <c r="I120" i="2" s="1"/>
  <c r="D64" i="2"/>
  <c r="H64" i="2" s="1"/>
  <c r="I64" i="2" s="1"/>
  <c r="D91" i="2"/>
  <c r="H91" i="2" s="1"/>
  <c r="I91" i="2" s="1"/>
  <c r="D92" i="2"/>
  <c r="H92" i="2" s="1"/>
  <c r="I92" i="2" s="1"/>
  <c r="D42" i="2"/>
  <c r="H42" i="2" s="1"/>
  <c r="I42" i="2" s="1"/>
  <c r="D169" i="2"/>
  <c r="H169" i="2" s="1"/>
  <c r="I169" i="2" s="1"/>
  <c r="D170" i="2"/>
  <c r="H170" i="2" s="1"/>
  <c r="I170" i="2" s="1"/>
  <c r="D142" i="2"/>
  <c r="H142" i="2" s="1"/>
  <c r="I142" i="2" s="1"/>
  <c r="D68" i="2"/>
  <c r="H68" i="2" s="1"/>
  <c r="I68" i="2" s="1"/>
  <c r="D118" i="2"/>
  <c r="H118" i="2" s="1"/>
  <c r="I118" i="2" s="1"/>
  <c r="H22" i="2"/>
  <c r="I22" i="2" s="1"/>
  <c r="D146" i="2"/>
  <c r="H146" i="2" s="1"/>
  <c r="I146" i="2" s="1"/>
  <c r="H9" i="2"/>
  <c r="I9" i="2" s="1"/>
  <c r="D103" i="2"/>
  <c r="H103" i="2" s="1"/>
  <c r="I103" i="2" s="1"/>
  <c r="D52" i="2"/>
  <c r="D78" i="2" s="1"/>
  <c r="H78" i="2" s="1"/>
  <c r="I78" i="2" s="1"/>
  <c r="H16" i="2"/>
  <c r="I16" i="2" s="1"/>
  <c r="D129" i="2"/>
  <c r="H129" i="2" s="1"/>
  <c r="I129" i="2" s="1"/>
  <c r="D36" i="2"/>
  <c r="H36" i="2" s="1"/>
  <c r="I36" i="2" s="1"/>
  <c r="D44" i="2"/>
  <c r="H23" i="2"/>
  <c r="I23" i="2" s="1"/>
  <c r="D96" i="2"/>
  <c r="H96" i="2" s="1"/>
  <c r="I96" i="2" s="1"/>
  <c r="D51" i="2"/>
  <c r="H51" i="2" s="1"/>
  <c r="I51" i="2" s="1"/>
  <c r="D130" i="2"/>
  <c r="H130" i="2" s="1"/>
  <c r="I130" i="2" s="1"/>
  <c r="D182" i="2"/>
  <c r="H182" i="2" s="1"/>
  <c r="I182" i="2" s="1"/>
  <c r="D156" i="2"/>
  <c r="H156" i="2" s="1"/>
  <c r="I156" i="2" s="1"/>
  <c r="D127" i="2"/>
  <c r="H127" i="2" s="1"/>
  <c r="I127" i="2" s="1"/>
  <c r="D153" i="2"/>
  <c r="H153" i="2" s="1"/>
  <c r="I153" i="2" s="1"/>
  <c r="D179" i="2"/>
  <c r="H179" i="2" s="1"/>
  <c r="I179" i="2" s="1"/>
  <c r="D150" i="2"/>
  <c r="H150" i="2" s="1"/>
  <c r="I150" i="2" s="1"/>
  <c r="D124" i="2"/>
  <c r="H124" i="2" s="1"/>
  <c r="I124" i="2" s="1"/>
  <c r="D49" i="2"/>
  <c r="H49" i="2" s="1"/>
  <c r="I49" i="2" s="1"/>
  <c r="H20" i="2"/>
  <c r="I20" i="2" s="1"/>
  <c r="H15" i="2"/>
  <c r="I15" i="2" s="1"/>
  <c r="D93" i="2"/>
  <c r="H93" i="2" s="1"/>
  <c r="I93" i="2" s="1"/>
  <c r="D37" i="2"/>
  <c r="H37" i="2" s="1"/>
  <c r="I37" i="2" s="1"/>
  <c r="D122" i="2"/>
  <c r="H122" i="2" s="1"/>
  <c r="I122" i="2" s="1"/>
  <c r="D40" i="2"/>
  <c r="H40" i="2" s="1"/>
  <c r="I40" i="2" s="1"/>
  <c r="D48" i="2"/>
  <c r="H48" i="2" s="1"/>
  <c r="I48" i="2" s="1"/>
  <c r="D45" i="2"/>
  <c r="D71" i="2" s="1"/>
  <c r="H71" i="2" s="1"/>
  <c r="I71" i="2" s="1"/>
  <c r="D148" i="2"/>
  <c r="H148" i="2" s="1"/>
  <c r="I148" i="2" s="1"/>
  <c r="D171" i="2"/>
  <c r="H171" i="2" s="1"/>
  <c r="I171" i="2" s="1"/>
  <c r="D152" i="2"/>
  <c r="H152" i="2" s="1"/>
  <c r="I152" i="2" s="1"/>
  <c r="D145" i="2"/>
  <c r="H145" i="2" s="1"/>
  <c r="I145" i="2" s="1"/>
  <c r="D67" i="2"/>
  <c r="H67" i="2" s="1"/>
  <c r="I67" i="2" s="1"/>
  <c r="D123" i="2"/>
  <c r="H123" i="2" s="1"/>
  <c r="I123" i="2" s="1"/>
  <c r="D178" i="2"/>
  <c r="H178" i="2" s="1"/>
  <c r="I178" i="2" s="1"/>
  <c r="D149" i="2"/>
  <c r="H149" i="2" s="1"/>
  <c r="I149" i="2" s="1"/>
  <c r="D34" i="2"/>
  <c r="H34" i="2" s="1"/>
  <c r="I34" i="2" s="1"/>
  <c r="D119" i="2"/>
  <c r="H119" i="2" s="1"/>
  <c r="I119" i="2" s="1"/>
  <c r="D167" i="2"/>
  <c r="H167" i="2" s="1"/>
  <c r="I167" i="2" s="1"/>
  <c r="D115" i="2"/>
  <c r="H115" i="2" s="1"/>
  <c r="I115" i="2" s="1"/>
  <c r="H17" i="2"/>
  <c r="I17" i="2" s="1"/>
  <c r="D46" i="2"/>
  <c r="H46" i="2" s="1"/>
  <c r="I46" i="2" s="1"/>
  <c r="H5" i="2"/>
  <c r="I5" i="2" s="1"/>
  <c r="D98" i="2"/>
  <c r="H98" i="2" s="1"/>
  <c r="I98" i="2" s="1"/>
  <c r="D63" i="2"/>
  <c r="H63" i="2" s="1"/>
  <c r="I63" i="2" s="1"/>
  <c r="D70" i="2"/>
  <c r="H70" i="2" s="1"/>
  <c r="I70" i="2" s="1"/>
  <c r="H44" i="2"/>
  <c r="I44" i="2" s="1"/>
  <c r="I141" i="2"/>
  <c r="I89" i="2"/>
  <c r="D73" i="2"/>
  <c r="H73" i="2" s="1"/>
  <c r="I73" i="2" s="1"/>
  <c r="H47" i="2"/>
  <c r="I47" i="2" s="1"/>
  <c r="H52" i="2" l="1"/>
  <c r="I52" i="2" s="1"/>
  <c r="D75" i="2"/>
  <c r="H75" i="2" s="1"/>
  <c r="I75" i="2" s="1"/>
  <c r="D77" i="2"/>
  <c r="H77" i="2" s="1"/>
  <c r="I77" i="2" s="1"/>
  <c r="D74" i="2"/>
  <c r="H74" i="2" s="1"/>
  <c r="I74" i="2" s="1"/>
  <c r="H159" i="2"/>
  <c r="H7" i="1" s="1"/>
  <c r="I159" i="2"/>
  <c r="I7" i="1" s="1"/>
  <c r="H185" i="2"/>
  <c r="H8" i="1" s="1"/>
  <c r="I26" i="2"/>
  <c r="H45" i="2"/>
  <c r="I45" i="2" s="1"/>
  <c r="H26" i="2"/>
  <c r="I107" i="2"/>
  <c r="I5" i="1" s="1"/>
  <c r="D72" i="2"/>
  <c r="H72" i="2" s="1"/>
  <c r="I72" i="2" s="1"/>
  <c r="H133" i="2"/>
  <c r="H6" i="1" s="1"/>
  <c r="I133" i="2"/>
  <c r="I6" i="1" s="1"/>
  <c r="H107" i="2"/>
  <c r="H5" i="1" s="1"/>
  <c r="I185" i="2"/>
  <c r="I8" i="1" s="1"/>
  <c r="I55" i="2"/>
  <c r="I3" i="1" s="1"/>
  <c r="H55" i="2" l="1"/>
  <c r="I81" i="2"/>
  <c r="I4" i="1" s="1"/>
  <c r="I9" i="1" s="1"/>
  <c r="F12" i="1" s="1"/>
  <c r="H81" i="2"/>
  <c r="H4" i="1" s="1"/>
  <c r="H3" i="1" l="1"/>
  <c r="H9" i="1" s="1"/>
</calcChain>
</file>

<file path=xl/sharedStrings.xml><?xml version="1.0" encoding="utf-8"?>
<sst xmlns="http://schemas.openxmlformats.org/spreadsheetml/2006/main" count="5301" uniqueCount="1094">
  <si>
    <t>Grupo</t>
  </si>
  <si>
    <t>Item</t>
  </si>
  <si>
    <t>Descrição</t>
  </si>
  <si>
    <t>CATSER</t>
  </si>
  <si>
    <t>QTD</t>
  </si>
  <si>
    <t>QTD SERVENTES</t>
  </si>
  <si>
    <t>QTD JAUZEIRO</t>
  </si>
  <si>
    <t>Preço Mensal</t>
  </si>
  <si>
    <t>Preço Global</t>
  </si>
  <si>
    <t>Prestação de Serviços de Limpeza - Produtividade - Reitoria</t>
  </si>
  <si>
    <t>Prestação de Serviços de Limpeza - Produtividade - Campus Brasília</t>
  </si>
  <si>
    <t>Prestação de Serviços de Limpeza - Produtividade - Campus Ceilândia</t>
  </si>
  <si>
    <t>Prestação de Serviços de Limpeza - Produtividade - Campus Estrutural</t>
  </si>
  <si>
    <t>Prestação de Serviços de Limpeza - Produtividade - Campus Recanto das Emas</t>
  </si>
  <si>
    <t>Prestação de Serviços de Limpeza - Produtividade - Campus São Sebastião</t>
  </si>
  <si>
    <t>TOTAL</t>
  </si>
  <si>
    <t>VALOR GLOBAL - 30 MESES</t>
  </si>
  <si>
    <t>Tipo de área</t>
  </si>
  <si>
    <t>Índice de produtividade mínimo m²</t>
  </si>
  <si>
    <t>Valor (R$/M²)</t>
  </si>
  <si>
    <t>TOTAL - Área física  m²</t>
  </si>
  <si>
    <t>Total Área física m²</t>
  </si>
  <si>
    <t>Quantidade mínima de servente m²</t>
  </si>
  <si>
    <t>Subtotal Mensal</t>
  </si>
  <si>
    <t>Total em 30 meses</t>
  </si>
  <si>
    <t>Área Interna</t>
  </si>
  <si>
    <t>a) Pisos acarpetados.</t>
  </si>
  <si>
    <t>b.1) Pisos frios</t>
  </si>
  <si>
    <t>b.2) Pisos frios</t>
  </si>
  <si>
    <t>b.3) Pisos frios</t>
  </si>
  <si>
    <t>c) Laboratórios</t>
  </si>
  <si>
    <t>d) Almoxarifados/galpões</t>
  </si>
  <si>
    <t>e) Oficinas</t>
  </si>
  <si>
    <t>f) Áreas com espaços livres - saguão, hall e salão</t>
  </si>
  <si>
    <t>g.1) Banheiros</t>
  </si>
  <si>
    <t>g.2) Banheiros</t>
  </si>
  <si>
    <t>Área Externa</t>
  </si>
  <si>
    <t>a) Pisos pavimentados adjacentes/contíguos às edificações</t>
  </si>
  <si>
    <t>b) Varrição de passeios e arruamentos</t>
  </si>
  <si>
    <t>c) Pátios e áreas verdes com alta frequência</t>
  </si>
  <si>
    <t>d) Pátios e áreas verdes com média frequência</t>
  </si>
  <si>
    <t>e) Pátios e áreas verdes com baixa frequência</t>
  </si>
  <si>
    <t>f) coleta de detritos em pátios e áreas verdes com frequênciadiária</t>
  </si>
  <si>
    <t>Esquadrias Externas</t>
  </si>
  <si>
    <t>a) face externa com exposição a situação de risco</t>
  </si>
  <si>
    <t>b) face externa sem exposição a situação de risco</t>
  </si>
  <si>
    <t>c) face interna</t>
  </si>
  <si>
    <t>Fachadas Envidraçadas</t>
  </si>
  <si>
    <t>Áreas Hospitalares e assemelhadas</t>
  </si>
  <si>
    <t>QUANTIDADE DE SERVENTE ARREDONDADA</t>
  </si>
  <si>
    <t>REITORIA</t>
  </si>
  <si>
    <t>b) Pisos frios</t>
  </si>
  <si>
    <t>CAMPUS BRASÍLIA</t>
  </si>
  <si>
    <t>g) Banheiros</t>
  </si>
  <si>
    <t>CAMPUS CEILÂNDIA</t>
  </si>
  <si>
    <t>CAMPUS ESTRUTURAL</t>
  </si>
  <si>
    <t>CAMPUS RECANTO DAS EMAS</t>
  </si>
  <si>
    <t>CAMPUS SÃO SEBASTIÃO</t>
  </si>
  <si>
    <t>VALOR MENSAL UNITÁRIO POR M²</t>
  </si>
  <si>
    <t>ÁREA INTERNA</t>
  </si>
  <si>
    <t>ÁREA EXTERNA</t>
  </si>
  <si>
    <t>ESQUADRIAS EXTERNAS</t>
  </si>
  <si>
    <t>FACHADAS ENVIDRAÇADAS</t>
  </si>
  <si>
    <t>ÁREAS HOSPITALARES E ASSEMELHADAS</t>
  </si>
  <si>
    <t>MÃO DE OBRA</t>
  </si>
  <si>
    <t>PRODUTIVIDADE (1/M²)</t>
  </si>
  <si>
    <t>PREÇO HOMEM-MÊS (R$)</t>
  </si>
  <si>
    <t>SUBTOTAL (R$ / M²)</t>
  </si>
  <si>
    <t>PRODUTIVIDADE       (1/M²)</t>
  </si>
  <si>
    <t>Frequência no semestre (HORAS)</t>
  </si>
  <si>
    <t>Jornada de trabalho no semestre (HORAS)</t>
  </si>
  <si>
    <t>Ki = (1 x 2 x 3)</t>
  </si>
  <si>
    <t>Preço homem-mês (R$)</t>
  </si>
  <si>
    <t>(4X5)                 SUBTOTAL (R$ / M²)</t>
  </si>
  <si>
    <t>Ke = (1 x 2 x 3)</t>
  </si>
  <si>
    <t>Encarregado</t>
  </si>
  <si>
    <t>IN 05/2017, ANEXO VI-B, ITEM 4.</t>
  </si>
  <si>
    <t>(1)</t>
  </si>
  <si>
    <t>(2)</t>
  </si>
  <si>
    <t>(3)</t>
  </si>
  <si>
    <t>(4)</t>
  </si>
  <si>
    <t>(5)</t>
  </si>
  <si>
    <t>(6)</t>
  </si>
  <si>
    <t>Servente</t>
  </si>
  <si>
    <t>Jauzeiro</t>
  </si>
  <si>
    <t>TOTAL UNITÁRIO (M²)</t>
  </si>
  <si>
    <t>Frequência no mês (HORAS)</t>
  </si>
  <si>
    <t>Jornada de trabalho no mês (HORAS)</t>
  </si>
  <si>
    <t>PLANILHA DE FORMAÇÃO DE PREÇO</t>
  </si>
  <si>
    <t>SERVENTE:  DE SEGUNDA  À SEXTA</t>
  </si>
  <si>
    <t>Discriminação dos Serviços</t>
  </si>
  <si>
    <t>A</t>
  </si>
  <si>
    <t>Data de apresentação da proposta</t>
  </si>
  <si>
    <t>B</t>
  </si>
  <si>
    <t>Município</t>
  </si>
  <si>
    <t>Brasília</t>
  </si>
  <si>
    <t>C</t>
  </si>
  <si>
    <t>Ano do Acordo, Convenção ou Dissídio Coletivo</t>
  </si>
  <si>
    <t>D</t>
  </si>
  <si>
    <t>Nº de meses de execução contratual</t>
  </si>
  <si>
    <t>Identificação do Serviço</t>
  </si>
  <si>
    <t>Tipo de Serviço</t>
  </si>
  <si>
    <t>Unidade de Medida</t>
  </si>
  <si>
    <t>Quantidade total a contratar (em função da unidade de medida)</t>
  </si>
  <si>
    <t>Serviços de Limpeza e Conservação</t>
  </si>
  <si>
    <t>M²</t>
  </si>
  <si>
    <t>Dados para composição dos custos referentes à mão-de-obra</t>
  </si>
  <si>
    <t>Tipo de serviço (mesmo serviço com características distintas)</t>
  </si>
  <si>
    <t>Classificação Brasileira de Ocupações (CBO)</t>
  </si>
  <si>
    <t>5143-20</t>
  </si>
  <si>
    <t>Salário Nominativo da Categoria Profissional</t>
  </si>
  <si>
    <t>Categoria profissional (vinculada à execução contratual)</t>
  </si>
  <si>
    <t>Data base da categoria (dia/mês/ano)</t>
  </si>
  <si>
    <t>MÓDULO 1 - COMPOSIÇÃO DA REMUNERAÇÃO</t>
  </si>
  <si>
    <t>OBSERVAÇÕES - FUNDAMENTAÇÃO LEGAL E MEMÓRIA DE CÁLCULO</t>
  </si>
  <si>
    <t>COMPOSIÇÃO DA REMUNERAÇÃO</t>
  </si>
  <si>
    <t>%</t>
  </si>
  <si>
    <t>VALOR (R$)</t>
  </si>
  <si>
    <t>Salário Base</t>
  </si>
  <si>
    <t xml:space="preserve">Adicional Periculosidade </t>
  </si>
  <si>
    <t>Adicional Insalubridade</t>
  </si>
  <si>
    <t>Adicional Noturno</t>
  </si>
  <si>
    <t>E</t>
  </si>
  <si>
    <t>Adicional de Hora Noturna Reduzida</t>
  </si>
  <si>
    <t>F</t>
  </si>
  <si>
    <t>Adicional de Hora Extra no Feriado Trabalhado</t>
  </si>
  <si>
    <t>G</t>
  </si>
  <si>
    <t>Outros (especificar)</t>
  </si>
  <si>
    <t>TOTAL DO MÓDULO 1</t>
  </si>
  <si>
    <t>MÓDULO 2 – ENCARGOS E BENEFÍCIOS ANUAIS, MENSAIS E DIÁRIOS</t>
  </si>
  <si>
    <t>Submódulo 2.1 - 13º Salário, Férias e Adicional de Férias</t>
  </si>
  <si>
    <r>
      <rPr>
        <sz val="10"/>
        <color theme="1"/>
        <rFont val="Arial"/>
        <family val="2"/>
      </rPr>
      <t>13 (Décimo-terceiro) salário</t>
    </r>
    <r>
      <rPr>
        <sz val="10"/>
        <color rgb="FFFF0000"/>
        <rFont val="Arial"/>
        <family val="2"/>
      </rPr>
      <t xml:space="preserve"> </t>
    </r>
  </si>
  <si>
    <t>Férias e Adicional de Férias</t>
  </si>
  <si>
    <t>TOTAL SUBMÓDULO 2.1</t>
  </si>
  <si>
    <t>Soma de todos os encargos</t>
  </si>
  <si>
    <t>base 2.2</t>
  </si>
  <si>
    <t>Submódulo 2.2 - GPS, FGTS e Outras Contribuições</t>
  </si>
  <si>
    <t xml:space="preserve">INSS </t>
  </si>
  <si>
    <t xml:space="preserve">Salário Educação </t>
  </si>
  <si>
    <t>SAT (Seguro Acidente de Trabalho)</t>
  </si>
  <si>
    <t>SESC ou SESI</t>
  </si>
  <si>
    <t xml:space="preserve">SENAI - SENAC </t>
  </si>
  <si>
    <t xml:space="preserve">SEBRAE </t>
  </si>
  <si>
    <t xml:space="preserve">INCRA </t>
  </si>
  <si>
    <t>H</t>
  </si>
  <si>
    <t xml:space="preserve">FGTS </t>
  </si>
  <si>
    <t>TOTAL SUBMÓDULO 2.2</t>
  </si>
  <si>
    <t>Soma de todos os Encargos Sociais do Módulo 2.2</t>
  </si>
  <si>
    <t>Submódulo 2.3 - Benefícios Mensais e Diários</t>
  </si>
  <si>
    <t xml:space="preserve">Transporte </t>
  </si>
  <si>
    <t>-</t>
  </si>
  <si>
    <t xml:space="preserve">Auxílio-Refeição/Alimentação  </t>
  </si>
  <si>
    <t xml:space="preserve">Assistência Médica e Familiar </t>
  </si>
  <si>
    <t>Seguro de Vida</t>
  </si>
  <si>
    <t>Assistência Odontológica</t>
  </si>
  <si>
    <t>TOTAL SUBMÓDULO 2.3</t>
  </si>
  <si>
    <t>Soma dos valores de benefícios.</t>
  </si>
  <si>
    <t>QUADRO-RESUMO DO MÓDULO 2 - ENCARGOS, BENEFÍCIOS ANUAIS, MENSAIS E DIÁRIOS</t>
  </si>
  <si>
    <t>Módulo 2 - Encargos, Benefícios Anuais, Mensais e Diários</t>
  </si>
  <si>
    <t>2.1</t>
  </si>
  <si>
    <t>13º Salário, Férias e Adicional de Férias</t>
  </si>
  <si>
    <t>2.2</t>
  </si>
  <si>
    <t>GPS, FGTS e Outras Contribuições</t>
  </si>
  <si>
    <t>2.3</t>
  </si>
  <si>
    <t>Benefícios Mensais e Diários</t>
  </si>
  <si>
    <t>TOTAL DO MÓDULO 2</t>
  </si>
  <si>
    <t>Soma dos encargos e benefícios</t>
  </si>
  <si>
    <t>MÓDULO 3 – PROVISÃO PARA RESCISÃO</t>
  </si>
  <si>
    <t>PROVISÃO PARA RESCISÃO</t>
  </si>
  <si>
    <t>Aviso Prévio Indenizado</t>
  </si>
  <si>
    <t>Incidência do FGTS sobre Aviso Prévio Indenizado</t>
  </si>
  <si>
    <t>Multa do FGTS sobre o Aviso Prévio Indenizado</t>
  </si>
  <si>
    <t xml:space="preserve">Aviso Prévio Trabalhado </t>
  </si>
  <si>
    <t>Incidência dos encargos do submódulo 2.2 sobre Aviso Prévio Trabalhado</t>
  </si>
  <si>
    <t xml:space="preserve">Multa do FGTS  sobre o Aviso Prévio Trabalhado. </t>
  </si>
  <si>
    <t>TOTAL DO MÓDULO 3</t>
  </si>
  <si>
    <t>Soma dos indices</t>
  </si>
  <si>
    <t>MÓDULO 4 – CUSTO DE REPOSIÇÃO DO PROFISSIONAL AUSENTE</t>
  </si>
  <si>
    <t>Submódulo 4.1 - Ausências Legais</t>
  </si>
  <si>
    <t xml:space="preserve">Férias </t>
  </si>
  <si>
    <t>Ausências Legais</t>
  </si>
  <si>
    <t>Licença Paternidade</t>
  </si>
  <si>
    <r>
      <rPr>
        <sz val="10"/>
        <color theme="1"/>
        <rFont val="Arial"/>
        <family val="2"/>
      </rPr>
      <t>Ausência por Acidente de Trabalho</t>
    </r>
    <r>
      <rPr>
        <sz val="10"/>
        <color rgb="FFFF0000"/>
        <rFont val="Arial"/>
        <family val="2"/>
      </rPr>
      <t xml:space="preserve"> </t>
    </r>
  </si>
  <si>
    <t>Afastamento Maternidade</t>
  </si>
  <si>
    <t>Incidência do submódulo 2.2 sobre o somatório do submódulo 2.1 e sobre as
alíneas A, B, C, D e E do submódulo 4.1</t>
  </si>
  <si>
    <t>TOTAL SUBMÓDULO 4.1</t>
  </si>
  <si>
    <t>somatório</t>
  </si>
  <si>
    <t>Submódulo 4.2 - Intrajornada</t>
  </si>
  <si>
    <t>Intervalo para Repouso ou Alimentação</t>
  </si>
  <si>
    <t>TOTAL SUBMÓDULO 4.2</t>
  </si>
  <si>
    <t>QUADRO-RESUMO DO MÓDULO 4 - CUSTO DE REPOSIÇÃO DO PROFISSIONAL AUSENTE</t>
  </si>
  <si>
    <t>Módulo 4 - Custo de Reposição do Profissional Ausente</t>
  </si>
  <si>
    <t>4.1</t>
  </si>
  <si>
    <t>4.2</t>
  </si>
  <si>
    <t>Intrajornada</t>
  </si>
  <si>
    <t>TOTAL DO MÓDULO 4</t>
  </si>
  <si>
    <t>MÓDULO 5 – INSUMOS DIVERSOS</t>
  </si>
  <si>
    <t>INSUMOS DIVERSOS</t>
  </si>
  <si>
    <t xml:space="preserve">Uniformes </t>
  </si>
  <si>
    <t>PLANILHA DE CUSTOS E FORMAÇÃO DE PREÇOS - UNIFORME</t>
  </si>
  <si>
    <t>Materiais</t>
  </si>
  <si>
    <t>Equipamentos</t>
  </si>
  <si>
    <t>Utensílios</t>
  </si>
  <si>
    <t>TOTAL DO MÓDULO 5</t>
  </si>
  <si>
    <t>MÓDULO 6 – CUSTOS INDIRETOS, TRIBUTOS E LUCRO</t>
  </si>
  <si>
    <t>CUSTOS INDIRETOS, TRIBUTOS E LUCRO</t>
  </si>
  <si>
    <t>Custos Indiretos</t>
  </si>
  <si>
    <t>Lucro</t>
  </si>
  <si>
    <t>TRIBUTOS</t>
  </si>
  <si>
    <t>C.1</t>
  </si>
  <si>
    <t>PIS</t>
  </si>
  <si>
    <t>C.2</t>
  </si>
  <si>
    <t>COFINS</t>
  </si>
  <si>
    <t>C.3</t>
  </si>
  <si>
    <t>ISS</t>
  </si>
  <si>
    <t>TOTAL DO MÓDULO 6</t>
  </si>
  <si>
    <t>Somatório</t>
  </si>
  <si>
    <t xml:space="preserve">OBSERVAÇÃO: A Planilha de Custos que a empresa vencedora encaminhar no momento do processo licitatório deve corresponder ao seu enquadramento tributário no que se
refere às alíquotas desses respectivos tributos.
</t>
  </si>
  <si>
    <t>a)</t>
  </si>
  <si>
    <t>Tributos % = To = .............................................................</t>
  </si>
  <si>
    <t>b)</t>
  </si>
  <si>
    <t>(Total dos Módulos 1, 2, 3, 4 e 5+ Custos indiretos + lucro)= Po = ...................................</t>
  </si>
  <si>
    <t>c)</t>
  </si>
  <si>
    <t>Po / (1 - To) = P1 = ..............................................................................</t>
  </si>
  <si>
    <t>Valor dos Tributos = P1 - Po</t>
  </si>
  <si>
    <t>QUADRO RESUMO DO CUSTO POR EMPREGADO</t>
  </si>
  <si>
    <t>Mão-de-Obra vinculada à execução contratual (valor por empregado)</t>
  </si>
  <si>
    <t>Subtotal (A + B + C + D + E)</t>
  </si>
  <si>
    <t>PREÇO TOTAL POR EMPREGADO</t>
  </si>
  <si>
    <t>JAUZEIRO (SEGUNDA À SEXTA)</t>
  </si>
  <si>
    <r>
      <rPr>
        <sz val="10"/>
        <color theme="1"/>
        <rFont val="Arial"/>
        <family val="2"/>
      </rPr>
      <t>13 (Décimo-terceiro) salário</t>
    </r>
    <r>
      <rPr>
        <sz val="10"/>
        <color rgb="FFFF0000"/>
        <rFont val="Arial"/>
        <family val="2"/>
      </rPr>
      <t xml:space="preserve"> </t>
    </r>
  </si>
  <si>
    <r>
      <rPr>
        <sz val="10"/>
        <color theme="1"/>
        <rFont val="Arial"/>
        <family val="2"/>
      </rPr>
      <t>Ausência por Acidente de Trabalho</t>
    </r>
    <r>
      <rPr>
        <sz val="10"/>
        <color rgb="FFFF0000"/>
        <rFont val="Arial"/>
        <family val="2"/>
      </rPr>
      <t xml:space="preserve"> </t>
    </r>
  </si>
  <si>
    <t>Equipamentos e Uniformes</t>
  </si>
  <si>
    <t>Categoria</t>
  </si>
  <si>
    <t>QUANTIDADE POR SERVENTE</t>
  </si>
  <si>
    <t>VALORES</t>
  </si>
  <si>
    <t>SEMESTRAL</t>
  </si>
  <si>
    <t>30 MESES</t>
  </si>
  <si>
    <t>Valor Unitário</t>
  </si>
  <si>
    <t>Valor para 30 meses</t>
  </si>
  <si>
    <t>(A)</t>
  </si>
  <si>
    <t>(B=Ax5)</t>
  </si>
  <si>
    <t>(C)</t>
  </si>
  <si>
    <t>(BxC)</t>
  </si>
  <si>
    <t>Calça comprida</t>
  </si>
  <si>
    <t>Camisa manga curta</t>
  </si>
  <si>
    <t>Blusa Manga Longa</t>
  </si>
  <si>
    <r>
      <rPr>
        <b/>
        <sz val="10"/>
        <color theme="1"/>
        <rFont val="Times New Roman"/>
        <family val="1"/>
      </rPr>
      <t>Tênis solado baixo</t>
    </r>
    <r>
      <rPr>
        <sz val="10"/>
        <color theme="1"/>
        <rFont val="Times New Roman"/>
        <family val="1"/>
      </rPr>
      <t xml:space="preserve">  totalmente fechado, em material EVA, com palmilha removível e anatômica, antiderrapante, gênero unissex e certificado pelo ministério do trabalho</t>
    </r>
  </si>
  <si>
    <t>Meia de algodão</t>
  </si>
  <si>
    <t>Boné</t>
  </si>
  <si>
    <t>Crachá</t>
  </si>
  <si>
    <t>Bota em PVC cano longo</t>
  </si>
  <si>
    <t xml:space="preserve">Capa de chuva de boa qualidade (P, M,G, GG) </t>
  </si>
  <si>
    <t>TOTAL ESTIMADO POR SERVENTE</t>
  </si>
  <si>
    <t>VALOR MENSAL POR SERVENTE</t>
  </si>
  <si>
    <t>PLANILHA DE CUSTOS E FORMAÇÃO DE PREÇOS - EQUIPAMENTOS JAUZEIRO</t>
  </si>
  <si>
    <t>UNIDADE DE MEDIDA</t>
  </si>
  <si>
    <t>QUANTIDADES</t>
  </si>
  <si>
    <t>PARA 30 MESES</t>
  </si>
  <si>
    <t>Valor 30 meses</t>
  </si>
  <si>
    <t>(B)</t>
  </si>
  <si>
    <t>JAUZEIRO</t>
  </si>
  <si>
    <t xml:space="preserve">Aluguel de andaime modular móvel, base de 2×1 m, 6m de altura com montagem, desmotagem e frente. </t>
  </si>
  <si>
    <t>Diária</t>
  </si>
  <si>
    <t>Cadeirinha suspensa para trabalho em altura prédio</t>
  </si>
  <si>
    <t>Unidade</t>
  </si>
  <si>
    <t>Trava Queda Retrátil</t>
  </si>
  <si>
    <t>Corda de segurança conforme NR18</t>
  </si>
  <si>
    <t>Polia</t>
  </si>
  <si>
    <t>Trava Queda</t>
  </si>
  <si>
    <t>Ancoragem</t>
  </si>
  <si>
    <t>Cinto de segurança tipo Paraquedista</t>
  </si>
  <si>
    <t>Talabarte ajustável ( de posicionamento )</t>
  </si>
  <si>
    <t>Talabarte de segurança tipo Y com ABS</t>
  </si>
  <si>
    <t>Luva de proteção</t>
  </si>
  <si>
    <t>Capacete de segurança com jugular</t>
  </si>
  <si>
    <t>Óculos de proteção individual com proteção de raios UVA UVB</t>
  </si>
  <si>
    <t>KIT de proteção (joelhos, cotovelos e punhos)</t>
  </si>
  <si>
    <t>Protetor solar fator 70</t>
  </si>
  <si>
    <t xml:space="preserve">Calça </t>
  </si>
  <si>
    <t>Bota de segurança</t>
  </si>
  <si>
    <t>Par</t>
  </si>
  <si>
    <t xml:space="preserve">Meias de Algodão </t>
  </si>
  <si>
    <t>TOTAL ESTIMADO POR JAUZEIRO</t>
  </si>
  <si>
    <t>VALOR MENSAL POR JAUZEIRO (DILUÍDO EM 30 MESES)</t>
  </si>
  <si>
    <t>ITEM</t>
  </si>
  <si>
    <t>PRODUTO</t>
  </si>
  <si>
    <t>UNID. DE MEDIDA</t>
  </si>
  <si>
    <t>ESTIMATIVA DE QUANTIDADE MENSAL TOTAL (M)</t>
  </si>
  <si>
    <t>VALOR UNITÁRIO                 (N)</t>
  </si>
  <si>
    <t>VALOR MENSAL (MxN)</t>
  </si>
  <si>
    <t>QUANTIDADE MENSAL</t>
  </si>
  <si>
    <t>(D)</t>
  </si>
  <si>
    <t>(G)</t>
  </si>
  <si>
    <t>(J)</t>
  </si>
  <si>
    <t xml:space="preserve">Água sanitária de boa qualidade com ação bactericida e clareadora (hipoclorito de sódio 2% a 2,5% ) </t>
  </si>
  <si>
    <t>Galão de 5 litros</t>
  </si>
  <si>
    <t>Álcool em gel tipo etílico hidratado concentração 70 %</t>
  </si>
  <si>
    <t xml:space="preserve">Alcool Tipo etílico hidratado, concentração 46,2 INPM, uso doméstico </t>
  </si>
  <si>
    <t>Litro</t>
  </si>
  <si>
    <r>
      <rPr>
        <sz val="10"/>
        <color rgb="FF000000"/>
        <rFont val="Times New Roman"/>
        <family val="1"/>
      </rPr>
      <t>Cera Líquida acrílica de auto brilho, incolor, antiderrapante e impermeabilizante,</t>
    </r>
    <r>
      <rPr>
        <b/>
        <sz val="10"/>
        <color rgb="FF000000"/>
        <rFont val="Times New Roman"/>
        <family val="1"/>
      </rPr>
      <t xml:space="preserve"> </t>
    </r>
    <r>
      <rPr>
        <sz val="10"/>
        <color rgb="FF000000"/>
        <rFont val="Times New Roman"/>
        <family val="1"/>
      </rPr>
      <t xml:space="preserve"> com registro na Anvisa</t>
    </r>
  </si>
  <si>
    <t>Desodorizador de ar do Tipo Bom Ar, em aerosol aromas diversos, frasco 360 ml</t>
  </si>
  <si>
    <t>Und.</t>
  </si>
  <si>
    <t>Desinfetante concentrado, perfumado, ação bactericida com registro na Anvisa</t>
  </si>
  <si>
    <r>
      <rPr>
        <sz val="10"/>
        <color rgb="FF000000"/>
        <rFont val="Times New Roman"/>
        <family val="1"/>
      </rPr>
      <t xml:space="preserve">Detergente líquido para limpeza doméstica, remoção de gorduras e sujeiras, com tenso ativo biodegradável, neutro, antialérgico, </t>
    </r>
    <r>
      <rPr>
        <b/>
        <sz val="10"/>
        <color rgb="FF000000"/>
        <rFont val="Times New Roman"/>
        <family val="1"/>
      </rPr>
      <t>frasco 500 ml</t>
    </r>
    <r>
      <rPr>
        <sz val="10"/>
        <color rgb="FF000000"/>
        <rFont val="Times New Roman"/>
        <family val="1"/>
      </rPr>
      <t xml:space="preserve"> com bico dosador, registro na ANVISA.</t>
    </r>
  </si>
  <si>
    <t>Base seladora incolor para pisos, antiderrapante, galão de 5 litros.</t>
  </si>
  <si>
    <t>Esponja de aço tipo bombril ou similar, pcte c/09 und.</t>
  </si>
  <si>
    <t>Pct</t>
  </si>
  <si>
    <t>Esponja dupla face macia para limpeza e lavagem de qualquer superfície (Não deve provocar arranhadura na superfície a ser limpa)  und.</t>
  </si>
  <si>
    <t xml:space="preserve">Flanela de primeira qualidade para limpeza de mobiliário em geral, branca, medindo - 40 x 60 cm  </t>
  </si>
  <si>
    <t>Inseticida aerosol ação total 300 ml</t>
  </si>
  <si>
    <t>Limpa cerâmica e azulejo, azulim ou similar, galão de 5 litros.</t>
  </si>
  <si>
    <t xml:space="preserve">Limpa vidro frasco (500 ml)  </t>
  </si>
  <si>
    <t>Luva de proteção de borracha tamanho (p, m, g)  cor azul reutilizável para limpar bebedouro. Par</t>
  </si>
  <si>
    <t>Luva de borracha de primeira qualidade tamanhos variados (p, m, g) - amarelas. Par</t>
  </si>
  <si>
    <t>Pano tipo saco alvejado para limpeza (pano de copa), 1ª qualidade, grosso, 100% algodão (Fechado em três lados), branco, lavado (já encolhido), medindo aproximadamente 50 cm x 80 cm.</t>
  </si>
  <si>
    <r>
      <rPr>
        <b/>
        <sz val="10"/>
        <color rgb="FF000000"/>
        <rFont val="Times New Roman"/>
        <family val="1"/>
      </rPr>
      <t xml:space="preserve">Papel Higiênico  Rolo 250m,  Folha Dupla. </t>
    </r>
    <r>
      <rPr>
        <sz val="10"/>
        <color rgb="FF000000"/>
        <rFont val="Times New Roman"/>
        <family val="1"/>
      </rPr>
      <t xml:space="preserve">Composição: </t>
    </r>
  </si>
  <si>
    <t>Rolo de 250 m</t>
  </si>
  <si>
    <t>100% fibras celulósicas virgens</t>
  </si>
  <si>
    <t>Alta qualidade</t>
  </si>
  <si>
    <t>• Dimensões Folha: 0,10 x 250 metros</t>
  </si>
  <si>
    <t>• Tipo de papel: Folha Dupla</t>
  </si>
  <si>
    <t>• Gramatura: 30 g/m²</t>
  </si>
  <si>
    <t>• Picotado</t>
  </si>
  <si>
    <t xml:space="preserve"> Cor branca.</t>
  </si>
  <si>
    <t xml:space="preserve">Papel toalha 2 dobras, interfolhado luxo, branco e não reciclado, de boa qualidade, 100% celulose, Medida 23x21cm,  c/ 1.000 folhas adaptável a suporte. </t>
  </si>
  <si>
    <t>Fardo com 1000 folhas</t>
  </si>
  <si>
    <t>Pasta p/ limpeza pesada (pasta jóia ou similar) com 540g</t>
  </si>
  <si>
    <r>
      <rPr>
        <sz val="10"/>
        <color rgb="FF000000"/>
        <rFont val="Times New Roman"/>
        <family val="1"/>
      </rPr>
      <t xml:space="preserve">Removedor de cera de boa qualidade para piso, </t>
    </r>
    <r>
      <rPr>
        <b/>
        <u/>
        <sz val="10"/>
        <color rgb="FF000000"/>
        <rFont val="Times New Roman"/>
        <family val="1"/>
      </rPr>
      <t>galão de 5 litros.</t>
    </r>
    <r>
      <rPr>
        <sz val="10"/>
        <color rgb="FF000000"/>
        <rFont val="Times New Roman"/>
        <family val="1"/>
      </rPr>
      <t xml:space="preserve">  </t>
    </r>
  </si>
  <si>
    <t>Sabão em pó limpeza geral, embalagem de 5Kg</t>
  </si>
  <si>
    <t>Sabão em Barra para limpeza profunda 5x200g</t>
  </si>
  <si>
    <t>Saco plástico para lixo, cor preta, de boa qualidade,  capaciade de 200 lts</t>
  </si>
  <si>
    <t>Fardo com 100</t>
  </si>
  <si>
    <t>Saco plástico para lixo, cor preta, de boa qualidade,  capaciade de 100 lts</t>
  </si>
  <si>
    <t>Saco plástico para lixo cor preta, de boa qualidade, capaciade de 60 lts</t>
  </si>
  <si>
    <t>Saco plástico para lixo cor preta, de boa qualidade, capaciade de 40 lts</t>
  </si>
  <si>
    <t>PALHA DE AÇO  , abrasividade  nº 02, para utensílios de alumínio pacote com 20 und</t>
  </si>
  <si>
    <t>Máscara de segurança descartável cor branca, com elástico, pacote com 100 unidades.</t>
  </si>
  <si>
    <t>Caixa</t>
  </si>
  <si>
    <t>Fibra VERDE Uso Geral Verde  Pct/10</t>
  </si>
  <si>
    <t>Pacote</t>
  </si>
  <si>
    <t>-Dimensões: 225mmx101mmx11mm</t>
  </si>
  <si>
    <t>- Matéria Prima: Fibra Sintética c/ abrasivo; - Comercializada em embalagens com 10 unidades.</t>
  </si>
  <si>
    <r>
      <rPr>
        <sz val="10"/>
        <color theme="1"/>
        <rFont val="Times New Roman"/>
        <family val="1"/>
      </rPr>
      <t xml:space="preserve">Vaselina liquida, Uso Geral, não deixa cheiro e não engordura, </t>
    </r>
    <r>
      <rPr>
        <b/>
        <u/>
        <sz val="10"/>
        <color theme="1"/>
        <rFont val="Times New Roman"/>
        <family val="1"/>
      </rPr>
      <t>frasco de 1 litro.</t>
    </r>
  </si>
  <si>
    <t>Escova oval de nylon 12,5 cm</t>
  </si>
  <si>
    <t>Estopa para limpeza, pacote 1Kg</t>
  </si>
  <si>
    <t>Limpa alumínio líquido com registro na Anvisa galão de 5 litros</t>
  </si>
  <si>
    <t>Limpa pedra galão 5 litros</t>
  </si>
  <si>
    <t>Limpador multiuso frasco de litro</t>
  </si>
  <si>
    <t>Lustra móveis  de 500ML</t>
  </si>
  <si>
    <t>Óleo p/ lustrar móveis (óleo de peroba ou similar) Frasco com 500 ml</t>
  </si>
  <si>
    <r>
      <rPr>
        <sz val="11"/>
        <color theme="1"/>
        <rFont val="&quot;Times New Roman&quot;, serif"/>
      </rPr>
      <t xml:space="preserve">pano descartavel, limpeza leve, protegido com agente anti-bastecteriosado Pacote com </t>
    </r>
    <r>
      <rPr>
        <b/>
        <sz val="11"/>
        <color theme="1"/>
        <rFont val="&quot;Times New Roman&quot;, serif"/>
      </rPr>
      <t>50 unidades</t>
    </r>
  </si>
  <si>
    <t>Pano descartável multiuso, bobina, viscose picotado, rolo 300 m</t>
  </si>
  <si>
    <t>Rolo</t>
  </si>
  <si>
    <t>Sabão de coco sólido em barras 5x200g</t>
  </si>
  <si>
    <t>Sabonete líquido concentrado de boa qualidade, com ação antisséptico, com registro na ANVISA</t>
  </si>
  <si>
    <t>Galão 5L</t>
  </si>
  <si>
    <t>Herbicida não seletivo, princípio ativo glifosato ou similar, frasco com 1 litro</t>
  </si>
  <si>
    <t>Cera em pasta incolor 400g com registro na Anvisa</t>
  </si>
  <si>
    <t>Detergente neutro concentrado de boa qualidade com registro na Anvisa</t>
  </si>
  <si>
    <t>Detergente Alcalino Clorado de boa qualidade com registro na Anvisa</t>
  </si>
  <si>
    <t>TOTAL POR SERVENTE - QTD ESTIMADO EM</t>
  </si>
  <si>
    <t>Und. de Medida</t>
  </si>
  <si>
    <t>QUANTIDADE EXIGIDA PARA A NOVA CONTRATAÇÃO</t>
  </si>
  <si>
    <t>QUANTIDADE EXIGIDA PARA A NOVA CONTRATAÇÃO (A)</t>
  </si>
  <si>
    <t>Valor  médio unitário (B)</t>
  </si>
  <si>
    <t>Valor Total (C) (AxB)</t>
  </si>
  <si>
    <t>Instrução Normativa RFB nº 1.700, de 14/03/2017</t>
  </si>
  <si>
    <t>Acórdão TCU nº 966/2010 – Plenário.</t>
  </si>
  <si>
    <t>Vida útil estimada em meses (D)</t>
  </si>
  <si>
    <t>Depreciação Mensal  (F)        (C/D)</t>
  </si>
  <si>
    <t>Valor Depreciação Anual  (G)        (Fx12)</t>
  </si>
  <si>
    <t>Enceradeiras lavadora de piso, motor 1HP, engrenagem de aço, acompanhada dos discos necessários à limpeza., com manutenção gratuita, durante todo o período do contrato de fornecimento.</t>
  </si>
  <si>
    <t>Escadas de 4 degraus</t>
  </si>
  <si>
    <t xml:space="preserve">DISPENSER para papel higiênico rolão 10 cm x 300 m a ser instalado pela contratada em regime de COMODATO na cor branca, fechamento com trava, com visor frontal, confeccionado em plástico rígido, com manutenção gratuita, durante todo o período do contrato de fornecimento. </t>
  </si>
  <si>
    <t xml:space="preserve">DISPENSER para papel toalha 2 dobras interfolhado ser instalado pela contratada em regime de COMODATO na cor branca, fechamento com trava, com visor frontal, capacidade para 1000 folhas, confeccionado em plástico rígido com manutenção gratuita, durante todo o período do contrato de fornecimento. </t>
  </si>
  <si>
    <t xml:space="preserve">DISPENSER com reservatório para sabonete ou álcool em gel, na cor branca, confeccionado em plástico rígido,  fechamento manual, capacidade de 800ml, cedidos em regime de COMODATO, com manutenção gratuita durante todo o período do contrato de fornecimento. </t>
  </si>
  <si>
    <t>CARRINHO DE LIMPEZA FUNCIONAL – COMODATO, com manutenção gratuita durante todo o período do contrato de fornecimento.</t>
  </si>
  <si>
    <t>- Balde Doblô 30 Lts;</t>
  </si>
  <si>
    <t>- 01 Cabo de Alumínio 140 cm</t>
  </si>
  <si>
    <t>- Suporte para Mop Úmido</t>
  </si>
  <si>
    <t>-Placa Sinalizadora Piso Molhado</t>
  </si>
  <si>
    <t xml:space="preserve">-Medidas de cubagem: </t>
  </si>
  <si>
    <t>88 x 30 x 55 – Carrinho</t>
  </si>
  <si>
    <t>40 x 40 x 80 – balde, Placa/ Pá/ Refis e Cabo Alumínio</t>
  </si>
  <si>
    <t>Relógio de ponto eletrônico com identificação da biometria, impressão do comprovante de registro, homologado pelo Ministério do Trabalho e Emprego, segundo as normas da Portaria nº 1.510/2009 e com certificação do INMETRO. Acompanha bobina térmica para relógio de ponto, medindo 57mm de largura por 300m de comprimento, capacidade para aproximadamente 8.500 impressões.</t>
  </si>
  <si>
    <t>Pulverizador e Dosador Costal a Bateria 
com extensão de 60cm para aumentar a lança original (facilita aplicações rente ao chão). Com sistema temporizado que aplica dosagens de 5 a 300 ml, com precisão e rapidez. Com uma carga de bateria, permita aplicar mais de 10.000 doses de 50 ml. Possuir 5 intervalos de dosagens. O líquido deverá ser dosado de acordo com o intervalo de tempo selecionado com um único acionamento de gatilho. Bateria removível - Fácil e rápida remoção/instalação.
TANQUE: Capacidade: 20 L,  Material: Plástico, Diâmetro do Bocal: 115 mm. Referência: Pulverizador Jacto PJB-20 ou
de melhor qualidade.
Cedidos em regime de COMODATO, com manutenção gratuita durante todo o período do contrato de fornecimento.</t>
  </si>
  <si>
    <t>Lavadora de alta pressão 2000 lbs/pol² 1800 watts 220v</t>
  </si>
  <si>
    <t>Aspirador de pó e água profissional com baixo nível de ruido e capacidade de 50 litros</t>
  </si>
  <si>
    <t>carrinho "container" 240 l com rodinhas para jardim, material em plástico.</t>
  </si>
  <si>
    <t xml:space="preserve">TOTAL </t>
  </si>
  <si>
    <t>QUANTIDADE ANUAL TOTAL EXIGIDA PARA A NOVA CONTRATAÇÃO     (A)</t>
  </si>
  <si>
    <t>Valor Unitário (B)</t>
  </si>
  <si>
    <t>Valor mensal (C)                                 (D/12)</t>
  </si>
  <si>
    <t>Valor anual          (D)                               (A x B)</t>
  </si>
  <si>
    <t>QUANTIDADE ANUAL</t>
  </si>
  <si>
    <t>Baldes plásticos com alça para limpeza com capacidade de 20L</t>
  </si>
  <si>
    <t>Baldes plásticos com alça para limpeza com capacidade de 5L</t>
  </si>
  <si>
    <t>Desentupidores de borracha com cabo de plástico, para pia</t>
  </si>
  <si>
    <t>Desentupidores de borracha com cabo de plástico, para vaso sanitário</t>
  </si>
  <si>
    <t xml:space="preserve">Disco preto para lavadora industrial 40cm (enceradeira) </t>
  </si>
  <si>
    <t>Disco branco para cera</t>
  </si>
  <si>
    <t>Escova de mão</t>
  </si>
  <si>
    <t>Esfregões com cerdas de nylon</t>
  </si>
  <si>
    <t>Espanadores de pena natural de 40cm</t>
  </si>
  <si>
    <t>Espátula de raspagem de piso</t>
  </si>
  <si>
    <t>Pás para lixo em plástico (comum)</t>
  </si>
  <si>
    <t>Pás coletoras de lixo com cabo longo em alumínio</t>
  </si>
  <si>
    <t>Rodos com duas borrachas de 60 cm, com cabo</t>
  </si>
  <si>
    <t>Rodos com duas borrachas de 90 cm, com cabo</t>
  </si>
  <si>
    <t>Suporte para rodos e vassouras em aluminio, minimo de 05 lugares</t>
  </si>
  <si>
    <t>Vassouras de piaçava de 60 cm, com cabo de madeira e revestimento plástico</t>
  </si>
  <si>
    <t>Vassouras de pelo 40 cm, com cabo de madeira, revestimento plástico</t>
  </si>
  <si>
    <t>Vassouras de pelo 60cm, com cabo de madeira, revestimento plástico</t>
  </si>
  <si>
    <t>Vassourinhas para vaso sanitário, cabeça redonda em plástico com suporte</t>
  </si>
  <si>
    <t>Placa Sinalizadora Cavalete Piso Molhado</t>
  </si>
  <si>
    <t>Cabo para rodo e vassoura com tamanho de 1,40 m</t>
  </si>
  <si>
    <t>Pulverizador Borrifador De Alcool e Agua Manual Pressão 500 Ml - Sistema de Pressão: Manual</t>
  </si>
  <si>
    <t>Bico Regulável de Jato</t>
  </si>
  <si>
    <t>Capacidade: 500 ml</t>
  </si>
  <si>
    <t>Medidas: 23 x 7 x 7 cm</t>
  </si>
  <si>
    <t>Material: Polietileno, polipropileno e metal</t>
  </si>
  <si>
    <t>Peso: 70 gramas</t>
  </si>
  <si>
    <r>
      <rPr>
        <b/>
        <sz val="10"/>
        <color theme="1"/>
        <rFont val="Times New Roman"/>
        <family val="1"/>
      </rPr>
      <t>Minilock Limpa Tudo Azul Altura: </t>
    </r>
    <r>
      <rPr>
        <sz val="10"/>
        <color theme="1"/>
        <rFont val="Times New Roman"/>
        <family val="1"/>
      </rPr>
      <t>23,00</t>
    </r>
    <r>
      <rPr>
        <b/>
        <sz val="10"/>
        <color theme="1"/>
        <rFont val="Times New Roman"/>
        <family val="1"/>
      </rPr>
      <t> </t>
    </r>
    <r>
      <rPr>
        <sz val="10"/>
        <color theme="1"/>
        <rFont val="Times New Roman"/>
        <family val="1"/>
      </rPr>
      <t>Centímetro</t>
    </r>
    <r>
      <rPr>
        <b/>
        <sz val="10"/>
        <color theme="1"/>
        <rFont val="Times New Roman"/>
        <family val="1"/>
      </rPr>
      <t>s</t>
    </r>
  </si>
  <si>
    <r>
      <rPr>
        <b/>
        <sz val="10"/>
        <color theme="1"/>
        <rFont val="Times New Roman"/>
        <family val="1"/>
      </rPr>
      <t>Largura: </t>
    </r>
    <r>
      <rPr>
        <sz val="10"/>
        <color theme="1"/>
        <rFont val="Times New Roman"/>
        <family val="1"/>
      </rPr>
      <t>10,00</t>
    </r>
    <r>
      <rPr>
        <b/>
        <sz val="10"/>
        <color theme="1"/>
        <rFont val="Times New Roman"/>
        <family val="1"/>
      </rPr>
      <t> </t>
    </r>
    <r>
      <rPr>
        <sz val="10"/>
        <color theme="1"/>
        <rFont val="Times New Roman"/>
        <family val="1"/>
      </rPr>
      <t>Centímetro</t>
    </r>
    <r>
      <rPr>
        <b/>
        <sz val="10"/>
        <color theme="1"/>
        <rFont val="Times New Roman"/>
        <family val="1"/>
      </rPr>
      <t>s</t>
    </r>
  </si>
  <si>
    <r>
      <rPr>
        <b/>
        <sz val="10"/>
        <color theme="1"/>
        <rFont val="Times New Roman"/>
        <family val="1"/>
      </rPr>
      <t>Profundidade: </t>
    </r>
    <r>
      <rPr>
        <sz val="10"/>
        <color theme="1"/>
        <rFont val="Times New Roman"/>
        <family val="1"/>
      </rPr>
      <t>23,00</t>
    </r>
    <r>
      <rPr>
        <b/>
        <sz val="10"/>
        <color theme="1"/>
        <rFont val="Times New Roman"/>
        <family val="1"/>
      </rPr>
      <t> </t>
    </r>
    <r>
      <rPr>
        <sz val="10"/>
        <color theme="1"/>
        <rFont val="Times New Roman"/>
        <family val="1"/>
      </rPr>
      <t>Centímetro</t>
    </r>
    <r>
      <rPr>
        <b/>
        <sz val="10"/>
        <color theme="1"/>
        <rFont val="Times New Roman"/>
        <family val="1"/>
      </rPr>
      <t>s</t>
    </r>
  </si>
  <si>
    <r>
      <rPr>
        <b/>
        <sz val="10"/>
        <color theme="1"/>
        <rFont val="Times New Roman"/>
        <family val="1"/>
      </rPr>
      <t>Peso: </t>
    </r>
    <r>
      <rPr>
        <sz val="10"/>
        <color theme="1"/>
        <rFont val="Times New Roman"/>
        <family val="1"/>
      </rPr>
      <t>130,00</t>
    </r>
    <r>
      <rPr>
        <b/>
        <sz val="10"/>
        <color theme="1"/>
        <rFont val="Times New Roman"/>
        <family val="1"/>
      </rPr>
      <t> </t>
    </r>
    <r>
      <rPr>
        <sz val="10"/>
        <color theme="1"/>
        <rFont val="Times New Roman"/>
        <family val="1"/>
      </rPr>
      <t>Grama</t>
    </r>
    <r>
      <rPr>
        <b/>
        <sz val="10"/>
        <color theme="1"/>
        <rFont val="Times New Roman"/>
        <family val="1"/>
      </rPr>
      <t xml:space="preserve">s </t>
    </r>
    <r>
      <rPr>
        <sz val="10"/>
        <color theme="1"/>
        <rFont val="Times New Roman"/>
        <family val="1"/>
      </rPr>
      <t>Sistema de fixação do cabo através de rosca universal. Com junção articulada, pode ser utilizado em pisos, paredes e diversas superfícies. Indicados os cabos 24 mm</t>
    </r>
  </si>
  <si>
    <t>Vassouras de nylon, com cabo, 40cm</t>
  </si>
  <si>
    <t>Disco vermelho para utilização em piso delicados (ginásio e Biblioteca CBRA)</t>
  </si>
  <si>
    <t>Disco amarelo "POLIDOR" para enceradeira</t>
  </si>
  <si>
    <t>Kit limpa vidro (rodo, extensor e bucha)</t>
  </si>
  <si>
    <t>Mangueira plástica de ¾  de 50 metros com bico</t>
  </si>
  <si>
    <t>Extensão elétrica de 30 metros</t>
  </si>
  <si>
    <t xml:space="preserve">TOTAL POR SERVENTE - QTD ESTIMADO EM </t>
  </si>
  <si>
    <t>TOTAL  ÁREA  FÍSICA M² DO IFB</t>
  </si>
  <si>
    <t>Área física m²</t>
  </si>
  <si>
    <t>Área física m² (CEDIDA)</t>
  </si>
  <si>
    <t>f) coleta de detritos em pátios e áreas verdes com frequência diária</t>
  </si>
  <si>
    <t>Prédio/Bloco</t>
  </si>
  <si>
    <t>Pavimento</t>
  </si>
  <si>
    <t>Ambiente</t>
  </si>
  <si>
    <t>Área m²</t>
  </si>
  <si>
    <t>Descrição da áera</t>
  </si>
  <si>
    <t>ÍNDICE DE PRODUTIVIDADE</t>
  </si>
  <si>
    <t>QTD DE SERVENTE</t>
  </si>
  <si>
    <t>Local</t>
  </si>
  <si>
    <t>Área (a)</t>
  </si>
  <si>
    <t>Produtividade (b)</t>
  </si>
  <si>
    <t>Frequência no semestre em horas (C)</t>
  </si>
  <si>
    <t>Jornada de trabalho no semestre horas (d)</t>
  </si>
  <si>
    <t>QTD Mínima de servente por unidade Q=(a)*(c)/(b)*(d)</t>
  </si>
  <si>
    <t>Edifício Siderbrás</t>
  </si>
  <si>
    <t>2º SUBSOLO</t>
  </si>
  <si>
    <t>CORREDOR/CIRCULAÇÃO</t>
  </si>
  <si>
    <t>Pisos frios</t>
  </si>
  <si>
    <t>ESPAÇO DE CONVIVÊNCIA EXTERNO - TÉRREO</t>
  </si>
  <si>
    <t>Pisos pavimentados adjacentes/contíguos às edificações</t>
  </si>
  <si>
    <t>face externa sem exposição a situação de risco</t>
  </si>
  <si>
    <t>CASA DE BOMBAS</t>
  </si>
  <si>
    <t>JARDIM 1- TÉRREO</t>
  </si>
  <si>
    <t>Pátios e áreas verdes com alta frequência</t>
  </si>
  <si>
    <t>Frequência no mês em horas (C)</t>
  </si>
  <si>
    <t>Jornada de trabalho no mês horas (d)</t>
  </si>
  <si>
    <t>QGBT</t>
  </si>
  <si>
    <t>JARDIM 2- TÉRREO</t>
  </si>
  <si>
    <t>face interna</t>
  </si>
  <si>
    <t>SANITÁRIO MASCULINO</t>
  </si>
  <si>
    <t>Banheiros</t>
  </si>
  <si>
    <t>JARDIM 3- TÉRREO</t>
  </si>
  <si>
    <t>SANITÁRIO FEMININO</t>
  </si>
  <si>
    <t>JARDIM 4- TÉRREO</t>
  </si>
  <si>
    <t>SANITÁRIO</t>
  </si>
  <si>
    <t>PISO PAVIMENTADO ADJACENTE AO TÉRREO DA EDIFICAÇÃO</t>
  </si>
  <si>
    <t>SALA-ESTABILIZADORES</t>
  </si>
  <si>
    <t>GARAGEM DO 1º SUBSOLO</t>
  </si>
  <si>
    <t>Varrição de passeios e arruamentos</t>
  </si>
  <si>
    <t>SALA TÉCNICA DE INFORMÁTICA</t>
  </si>
  <si>
    <t>SALA TÉCNICA DE AR-CONDICIONADO</t>
  </si>
  <si>
    <t>QTD Mínima de JAUZEIRO por unidade Q=(a)*(c)/(b)*(d)</t>
  </si>
  <si>
    <t>DEMAIS ÁREAS</t>
  </si>
  <si>
    <t>Esquadria Externa - face externa com exposição a situação de risco</t>
  </si>
  <si>
    <t>1º SUBSOLO</t>
  </si>
  <si>
    <t>SALA TÉCNICA</t>
  </si>
  <si>
    <t>TÉRREO</t>
  </si>
  <si>
    <t>REFEITÓRIO/ESPAÇO DE CONVIVÊNCIA</t>
  </si>
  <si>
    <t>PATRIMÔNIO</t>
  </si>
  <si>
    <t>PROTOCOLO</t>
  </si>
  <si>
    <t>CDR</t>
  </si>
  <si>
    <t>Almoxarifado</t>
  </si>
  <si>
    <t>Almoxarifados/galpões</t>
  </si>
  <si>
    <t>LAVABO SFA</t>
  </si>
  <si>
    <t>SANITÁRIO DE PNE</t>
  </si>
  <si>
    <t>HALL/ ACESSO AO SANITÁRIO MASCULINO</t>
  </si>
  <si>
    <t>COPA</t>
  </si>
  <si>
    <t>HALL/ ACESSO À COPA</t>
  </si>
  <si>
    <t>SALA DE MÁQUINAS</t>
  </si>
  <si>
    <t>ESCADA</t>
  </si>
  <si>
    <t>DEPÓSITO 1</t>
  </si>
  <si>
    <t>DEPÓSITO 2</t>
  </si>
  <si>
    <t>CABINE DO ELEVADOR DE SERVIÇO</t>
  </si>
  <si>
    <t>CABINE DO ELEVADOR SOCIAL</t>
  </si>
  <si>
    <t>HALL/RECEPÇÃO/CIRCULAÇÃO</t>
  </si>
  <si>
    <t>4º ANDAR</t>
  </si>
  <si>
    <t>PRGP/RECEPÇÃO</t>
  </si>
  <si>
    <t>LAVABO DA PRGP</t>
  </si>
  <si>
    <t>PRÓ-REITOR DA PRGP</t>
  </si>
  <si>
    <t>LAVABO DO PRÓ-REITOR</t>
  </si>
  <si>
    <t>PRGP-SALA DOS SERVIDORES</t>
  </si>
  <si>
    <t>PRPI</t>
  </si>
  <si>
    <t>PRÓ-REITOR-PRPI</t>
  </si>
  <si>
    <t>PREX</t>
  </si>
  <si>
    <t>PRÓ-REITOR-PREX</t>
  </si>
  <si>
    <t>SANITÁRIO PNE</t>
  </si>
  <si>
    <t>HALL/ACESSO AO SANITÁRIO MASCULINO</t>
  </si>
  <si>
    <t>HALL DE ACESSO À COPA</t>
  </si>
  <si>
    <t>CASA DE MÁQUINAS</t>
  </si>
  <si>
    <t>QUANTIDADE DE JAUZEIRO SEM ARREDONDADA</t>
  </si>
  <si>
    <t>DML</t>
  </si>
  <si>
    <t>DEPÓSITO</t>
  </si>
  <si>
    <t>5º ANDAR</t>
  </si>
  <si>
    <t>PRAD</t>
  </si>
  <si>
    <t>WC. PRAD</t>
  </si>
  <si>
    <t>RECEPÇÃO DA PRAD</t>
  </si>
  <si>
    <t>DRAD/CDCC</t>
  </si>
  <si>
    <t>WC. DRAD/CDCC</t>
  </si>
  <si>
    <t>CGAQ</t>
  </si>
  <si>
    <t>CGEF/CGCT/CDSG/DREN</t>
  </si>
  <si>
    <t>CDAI</t>
  </si>
  <si>
    <t>DRDE/DRPE</t>
  </si>
  <si>
    <t>PREN</t>
  </si>
  <si>
    <t>WC. FEM.</t>
  </si>
  <si>
    <t>HALL/ ACESSO AO WC. FEM.</t>
  </si>
  <si>
    <t>CIRCULAÇÃO</t>
  </si>
  <si>
    <t>DEPÓSITO 3</t>
  </si>
  <si>
    <t>6º ANDAR</t>
  </si>
  <si>
    <t>REITOR</t>
  </si>
  <si>
    <t>WC. REITOR</t>
  </si>
  <si>
    <t>RECEPÇÃO DO GABINETE</t>
  </si>
  <si>
    <t>CHEFE DE GABINETE</t>
  </si>
  <si>
    <t>WC. CHEFE DE GABINETE</t>
  </si>
  <si>
    <t>ASSESSORIA ADMINISTRATIVA</t>
  </si>
  <si>
    <t>AUDIN</t>
  </si>
  <si>
    <t>ASSESSORIA POLÍTICA</t>
  </si>
  <si>
    <t>REUNIÃO/COMISSÕES</t>
  </si>
  <si>
    <t>PROCURADORIA</t>
  </si>
  <si>
    <t>OUVIDORIA</t>
  </si>
  <si>
    <t>CGPL/CGOR/DICOM</t>
  </si>
  <si>
    <t>DRPO</t>
  </si>
  <si>
    <t>WC. FEMININO</t>
  </si>
  <si>
    <t>HALL/ ACESSO AO WC. FEMININO</t>
  </si>
  <si>
    <t>WC. MASCULINO</t>
  </si>
  <si>
    <t>HALL/ ACESSO AO WC. MASCULINO</t>
  </si>
  <si>
    <t>7º ANDAR</t>
  </si>
  <si>
    <t>SALA 01</t>
  </si>
  <si>
    <t>WC1</t>
  </si>
  <si>
    <t>WC2</t>
  </si>
  <si>
    <t>RECEPÇÃO</t>
  </si>
  <si>
    <t>SALA 02</t>
  </si>
  <si>
    <t>TI</t>
  </si>
  <si>
    <t>PRÓ-REITORIA 1</t>
  </si>
  <si>
    <t>PRÓ-REITOR 1</t>
  </si>
  <si>
    <t>PRÓ-REITORIA 2</t>
  </si>
  <si>
    <t>PRÓ-REITOR 2</t>
  </si>
  <si>
    <t>WC. PNE</t>
  </si>
  <si>
    <t>10º ANDAR</t>
  </si>
  <si>
    <t>SALÃO</t>
  </si>
  <si>
    <t>Bloco Administrativo</t>
  </si>
  <si>
    <t>Subsolo</t>
  </si>
  <si>
    <t xml:space="preserve">Almoxarifado </t>
  </si>
  <si>
    <t>Estacionamento Subsolo</t>
  </si>
  <si>
    <t>Almoxarifado Coordenação</t>
  </si>
  <si>
    <t>Fachada Biblioteca</t>
  </si>
  <si>
    <t xml:space="preserve">Hall Privativo </t>
  </si>
  <si>
    <t>Áreas com espaços livres - saguão hall e salão</t>
  </si>
  <si>
    <t>Area Externa</t>
  </si>
  <si>
    <t xml:space="preserve">face interna </t>
  </si>
  <si>
    <t>Banheiro</t>
  </si>
  <si>
    <t>Contêiner 1 - Deck de madeira</t>
  </si>
  <si>
    <t>1º Andar</t>
  </si>
  <si>
    <t>Hall</t>
  </si>
  <si>
    <t>Contêiner 1 - Plataforma de concreto e rampa</t>
  </si>
  <si>
    <t>Sala 1</t>
  </si>
  <si>
    <t>Pisos acarpetados</t>
  </si>
  <si>
    <t>Contêiner 2 - Deck de madeira</t>
  </si>
  <si>
    <t>Sala 1-A</t>
  </si>
  <si>
    <t>Contêiner 2 - Plataforma de concreto e rampa</t>
  </si>
  <si>
    <t>Sala 2</t>
  </si>
  <si>
    <t>Sala 3</t>
  </si>
  <si>
    <t>Sala 3-A</t>
  </si>
  <si>
    <t>Sala 4</t>
  </si>
  <si>
    <t>Sala 5</t>
  </si>
  <si>
    <t>Sala 5-A</t>
  </si>
  <si>
    <t xml:space="preserve">Esquadria Externa - face externa com exposição a situação de risco </t>
  </si>
  <si>
    <t>Sala 5-B</t>
  </si>
  <si>
    <t>Sala 6</t>
  </si>
  <si>
    <t xml:space="preserve">Copa </t>
  </si>
  <si>
    <t xml:space="preserve">Área de Circulação </t>
  </si>
  <si>
    <t xml:space="preserve">Sala Técnica </t>
  </si>
  <si>
    <t>Sala 7</t>
  </si>
  <si>
    <t>Sala 7-A WC</t>
  </si>
  <si>
    <t>Sala 7-B WC</t>
  </si>
  <si>
    <t xml:space="preserve">Sala de estar </t>
  </si>
  <si>
    <t>Sala 8</t>
  </si>
  <si>
    <t xml:space="preserve">Sala 8-A </t>
  </si>
  <si>
    <t>a) Pisos acarpetados</t>
  </si>
  <si>
    <t>Sala 9</t>
  </si>
  <si>
    <t xml:space="preserve">Banheiro </t>
  </si>
  <si>
    <t>2º Andar</t>
  </si>
  <si>
    <t xml:space="preserve">Recepção </t>
  </si>
  <si>
    <t>Sala 4-A</t>
  </si>
  <si>
    <t>Sala 4-B</t>
  </si>
  <si>
    <t>Sala 9-A</t>
  </si>
  <si>
    <t>ÁREA CEDIDA</t>
  </si>
  <si>
    <t>Sala 10</t>
  </si>
  <si>
    <t xml:space="preserve">Área de Circulação principal </t>
  </si>
  <si>
    <t>Sala 11</t>
  </si>
  <si>
    <t>Sala 12</t>
  </si>
  <si>
    <t xml:space="preserve">Sala técnica </t>
  </si>
  <si>
    <t xml:space="preserve">3º Andar </t>
  </si>
  <si>
    <t xml:space="preserve">Sala 2 recepção </t>
  </si>
  <si>
    <t xml:space="preserve">Sala 5 recepção </t>
  </si>
  <si>
    <t xml:space="preserve">Sala 8 recepção </t>
  </si>
  <si>
    <t>Circulação Sala 12</t>
  </si>
  <si>
    <t>Sala 13</t>
  </si>
  <si>
    <t>Sala 13-A</t>
  </si>
  <si>
    <t xml:space="preserve">Circulação Copa </t>
  </si>
  <si>
    <t>Sala 14</t>
  </si>
  <si>
    <t>Sala 15</t>
  </si>
  <si>
    <t>Sala 16</t>
  </si>
  <si>
    <t xml:space="preserve">Circulação principal </t>
  </si>
  <si>
    <t xml:space="preserve">Bloco A </t>
  </si>
  <si>
    <t xml:space="preserve">Térreo </t>
  </si>
  <si>
    <t>Lab. Química</t>
  </si>
  <si>
    <t>Elaboração provas</t>
  </si>
  <si>
    <t>Sala de Estudos</t>
  </si>
  <si>
    <t>Sala Reunioes professores</t>
  </si>
  <si>
    <t>Sala Reunioes professores 2</t>
  </si>
  <si>
    <t>Reprografia</t>
  </si>
  <si>
    <t>Circulçao interna</t>
  </si>
  <si>
    <t>Banheiro Masc prof</t>
  </si>
  <si>
    <t>Banheiro Feminino prof</t>
  </si>
  <si>
    <t>Sala tecnica</t>
  </si>
  <si>
    <t>Patio bl A</t>
  </si>
  <si>
    <t>Banheiro externo Feminio</t>
  </si>
  <si>
    <t>Banheiro Externo Masculino</t>
  </si>
  <si>
    <t>Auditório 111A</t>
  </si>
  <si>
    <t>Sala de vídeo 110A</t>
  </si>
  <si>
    <t>Sala 109A</t>
  </si>
  <si>
    <t>Sala 108A</t>
  </si>
  <si>
    <t>Sala 107A</t>
  </si>
  <si>
    <t>Sala 106A</t>
  </si>
  <si>
    <t>Sala 105A</t>
  </si>
  <si>
    <t>Sala 103A</t>
  </si>
  <si>
    <t>Sala 102/104A</t>
  </si>
  <si>
    <t>Sala 101A</t>
  </si>
  <si>
    <t>Circulação</t>
  </si>
  <si>
    <t>Sala 201</t>
  </si>
  <si>
    <t>Sala 202</t>
  </si>
  <si>
    <t>Sala 203</t>
  </si>
  <si>
    <t>Sala 204</t>
  </si>
  <si>
    <t>Sala 205</t>
  </si>
  <si>
    <t>Sala 206</t>
  </si>
  <si>
    <t>Sala 207</t>
  </si>
  <si>
    <t>Sala 208</t>
  </si>
  <si>
    <t>Sala 209</t>
  </si>
  <si>
    <t>Sala 210</t>
  </si>
  <si>
    <t>Sala 211</t>
  </si>
  <si>
    <t>Bloco B</t>
  </si>
  <si>
    <t>Pátio Bloco B</t>
  </si>
  <si>
    <t>Sala CFTV</t>
  </si>
  <si>
    <t>Sala CFTV Banheiro</t>
  </si>
  <si>
    <t>Sala CFTV Anti Câmara</t>
  </si>
  <si>
    <t>Banheiro externo</t>
  </si>
  <si>
    <t>Sala Convêniencia</t>
  </si>
  <si>
    <t>Atendimento</t>
  </si>
  <si>
    <t>Circulação interna</t>
  </si>
  <si>
    <t>Vertiario Limpeza Feminio</t>
  </si>
  <si>
    <t>Vertiario Limpeza Masculino</t>
  </si>
  <si>
    <t>Sala motorista</t>
  </si>
  <si>
    <t>Sala Segurança</t>
  </si>
  <si>
    <t>Circulaçãp externa</t>
  </si>
  <si>
    <t>101B</t>
  </si>
  <si>
    <t>102/104B</t>
  </si>
  <si>
    <t>Sala Técnica</t>
  </si>
  <si>
    <t>201B</t>
  </si>
  <si>
    <t>202B</t>
  </si>
  <si>
    <t>203B</t>
  </si>
  <si>
    <t>204/206B</t>
  </si>
  <si>
    <t>207B</t>
  </si>
  <si>
    <t>208B</t>
  </si>
  <si>
    <t>209B</t>
  </si>
  <si>
    <t>210B</t>
  </si>
  <si>
    <t>211B</t>
  </si>
  <si>
    <t xml:space="preserve">Circulação </t>
  </si>
  <si>
    <t>Lab Eventos</t>
  </si>
  <si>
    <t>Bloco C</t>
  </si>
  <si>
    <t>Patio</t>
  </si>
  <si>
    <t>Suporte técnico</t>
  </si>
  <si>
    <t>Sala depósito</t>
  </si>
  <si>
    <t>Sala Música</t>
  </si>
  <si>
    <t>Sala Musica Aula</t>
  </si>
  <si>
    <t>Auditório Foyer</t>
  </si>
  <si>
    <t>Sala projeção</t>
  </si>
  <si>
    <t>Ant Camera</t>
  </si>
  <si>
    <t>Auditorio centro</t>
  </si>
  <si>
    <t>Palco</t>
  </si>
  <si>
    <t>Camarin</t>
  </si>
  <si>
    <t>Camarin 2</t>
  </si>
  <si>
    <t xml:space="preserve">Banheiro Camarin 2 </t>
  </si>
  <si>
    <t>101C</t>
  </si>
  <si>
    <t>102C</t>
  </si>
  <si>
    <t>103C</t>
  </si>
  <si>
    <t>104C</t>
  </si>
  <si>
    <t>105C</t>
  </si>
  <si>
    <t>106C</t>
  </si>
  <si>
    <t>107C</t>
  </si>
  <si>
    <t>108C</t>
  </si>
  <si>
    <t>Depósito</t>
  </si>
  <si>
    <t>201C</t>
  </si>
  <si>
    <t>202C</t>
  </si>
  <si>
    <t>203C</t>
  </si>
  <si>
    <t>204C</t>
  </si>
  <si>
    <t>Bloco D</t>
  </si>
  <si>
    <t>Pátio</t>
  </si>
  <si>
    <t>Sala almoxarifado</t>
  </si>
  <si>
    <t>Cadan</t>
  </si>
  <si>
    <t>Serviços internos</t>
  </si>
  <si>
    <t>Call Center</t>
  </si>
  <si>
    <t>Serviços</t>
  </si>
  <si>
    <t>Manutenção</t>
  </si>
  <si>
    <t>Elaboração</t>
  </si>
  <si>
    <t>Coordenação</t>
  </si>
  <si>
    <t>Processamento</t>
  </si>
  <si>
    <t>Conferência</t>
  </si>
  <si>
    <t>Arquivo</t>
  </si>
  <si>
    <t>Sala de serviços internos</t>
  </si>
  <si>
    <t>Enfermaria</t>
  </si>
  <si>
    <t>Gabinete Médico</t>
  </si>
  <si>
    <t>Assistencia Social</t>
  </si>
  <si>
    <t>Gabinete</t>
  </si>
  <si>
    <t>Psicologica</t>
  </si>
  <si>
    <t>Espera</t>
  </si>
  <si>
    <t>Sala 101/102 D</t>
  </si>
  <si>
    <t xml:space="preserve">Sala 103 D </t>
  </si>
  <si>
    <t>Sala 104 D</t>
  </si>
  <si>
    <t>Sala 105 D</t>
  </si>
  <si>
    <t>Sala 106 D</t>
  </si>
  <si>
    <t>Sala 107 D</t>
  </si>
  <si>
    <t>Sala 108 D</t>
  </si>
  <si>
    <t>Sala 109 D</t>
  </si>
  <si>
    <t>Sala 110 D</t>
  </si>
  <si>
    <t>Sala 111 D</t>
  </si>
  <si>
    <t>201 D</t>
  </si>
  <si>
    <t>202 D</t>
  </si>
  <si>
    <t>203 D</t>
  </si>
  <si>
    <t>204 D</t>
  </si>
  <si>
    <t>205 D</t>
  </si>
  <si>
    <t>206 D</t>
  </si>
  <si>
    <t>207 D</t>
  </si>
  <si>
    <t>208 D</t>
  </si>
  <si>
    <t>209 D</t>
  </si>
  <si>
    <t>210 D</t>
  </si>
  <si>
    <t>211 D</t>
  </si>
  <si>
    <t>212 D</t>
  </si>
  <si>
    <t>Ginásio</t>
  </si>
  <si>
    <t>Area total</t>
  </si>
  <si>
    <t>Biblioteca</t>
  </si>
  <si>
    <t>Contêiner 1</t>
  </si>
  <si>
    <t>Térreo</t>
  </si>
  <si>
    <t>Centro Acadêmico / Grêmio Estudantil</t>
  </si>
  <si>
    <t>Contêiner 2</t>
  </si>
  <si>
    <t>Empresas Juniores</t>
  </si>
  <si>
    <t>Cantina</t>
  </si>
  <si>
    <t>Auditório</t>
  </si>
  <si>
    <t>térreo</t>
  </si>
  <si>
    <t>Lixeira</t>
  </si>
  <si>
    <t>coleta de detritos em pátios e áreas verdes com frequência diária</t>
  </si>
  <si>
    <t>Sanitário feminino</t>
  </si>
  <si>
    <t>Circulação - Pedestres</t>
  </si>
  <si>
    <t>Sanitário acessível</t>
  </si>
  <si>
    <t>GLP 1</t>
  </si>
  <si>
    <t>Sanitário masculino</t>
  </si>
  <si>
    <t>GLP 2</t>
  </si>
  <si>
    <t>Sala técnica</t>
  </si>
  <si>
    <t>Casa de bombas</t>
  </si>
  <si>
    <t>Subestação abrigada</t>
  </si>
  <si>
    <t>Sanitário coxia</t>
  </si>
  <si>
    <t>Circulação de veiculos - área de manobras e estacionamento</t>
  </si>
  <si>
    <t>Copa</t>
  </si>
  <si>
    <t xml:space="preserve">Jardins e áreas gramadas </t>
  </si>
  <si>
    <t>2º Piso</t>
  </si>
  <si>
    <t>Área de estudos</t>
  </si>
  <si>
    <t>Hall - Auditório</t>
  </si>
  <si>
    <t>Esquadria externa - face externa com exposição a situação de risco</t>
  </si>
  <si>
    <t>Ped/ADM</t>
  </si>
  <si>
    <t>Hall sanitarios</t>
  </si>
  <si>
    <t>Secretaria</t>
  </si>
  <si>
    <t>Protocolo</t>
  </si>
  <si>
    <t>Coordenação acadêmica</t>
  </si>
  <si>
    <t>NAPNE</t>
  </si>
  <si>
    <t>Assistência estudantil</t>
  </si>
  <si>
    <t>Recepção CDAE</t>
  </si>
  <si>
    <t>CDAE</t>
  </si>
  <si>
    <t>Coordenação de curso</t>
  </si>
  <si>
    <t>Sala de convivência</t>
  </si>
  <si>
    <t>Laboratório de informática B</t>
  </si>
  <si>
    <t>Laboratório de informática A</t>
  </si>
  <si>
    <t>Apoio aos alunos</t>
  </si>
  <si>
    <t>Laboratório de química/bio</t>
  </si>
  <si>
    <t>Sala técnica de TI</t>
  </si>
  <si>
    <t>Almox. laboratórios</t>
  </si>
  <si>
    <t>CGEN</t>
  </si>
  <si>
    <t>Diretor de ensino</t>
  </si>
  <si>
    <t>Sala de planejamento individual</t>
  </si>
  <si>
    <t>Recepção</t>
  </si>
  <si>
    <t>Sala do diretor geral</t>
  </si>
  <si>
    <t>Diretoria de Adm</t>
  </si>
  <si>
    <t>Diretor de Adm</t>
  </si>
  <si>
    <t>DML – Deposito de material de limpeza</t>
  </si>
  <si>
    <t>Sala de aula 1</t>
  </si>
  <si>
    <t>Sala de aula 2</t>
  </si>
  <si>
    <t>Sala de aula 3</t>
  </si>
  <si>
    <t>Sala de aula 4</t>
  </si>
  <si>
    <t>Sala de aula 5</t>
  </si>
  <si>
    <t>Sala de aula 6</t>
  </si>
  <si>
    <t>Sala de aula 7</t>
  </si>
  <si>
    <t>Sala de aula 8</t>
  </si>
  <si>
    <t>Sala de aula 9</t>
  </si>
  <si>
    <t>Sala de aula 10</t>
  </si>
  <si>
    <t>Sala de aula 11</t>
  </si>
  <si>
    <t>Sala de aula 12</t>
  </si>
  <si>
    <t>Sala de aula 13</t>
  </si>
  <si>
    <t>Vivência</t>
  </si>
  <si>
    <t>Cantina (CEDIDO)</t>
  </si>
  <si>
    <t>Refeitório/Vivência</t>
  </si>
  <si>
    <t>Vestiário feminino</t>
  </si>
  <si>
    <t>Vestiário masculino</t>
  </si>
  <si>
    <t>Dispensa</t>
  </si>
  <si>
    <t>Dispensa fria</t>
  </si>
  <si>
    <t>Cozinha</t>
  </si>
  <si>
    <t>Depósito/Manutenção de mobiliário</t>
  </si>
  <si>
    <t>Lavagem de utensílios</t>
  </si>
  <si>
    <t xml:space="preserve">Lixo </t>
  </si>
  <si>
    <t xml:space="preserve">Vivência </t>
  </si>
  <si>
    <t>Sala Auxiliar de manutenção</t>
  </si>
  <si>
    <t>Circulação 1</t>
  </si>
  <si>
    <t>Circulação 2</t>
  </si>
  <si>
    <t>Circulação 3</t>
  </si>
  <si>
    <t>Depósito de materiais esportivos</t>
  </si>
  <si>
    <t>Sanitário/Vestuário feminino</t>
  </si>
  <si>
    <t>Sanitário/Vestiário Masculino</t>
  </si>
  <si>
    <t>Sanitário/Vestiário PMR</t>
  </si>
  <si>
    <t>Depósito 1º pavimento</t>
  </si>
  <si>
    <t>Escadas de acesso ao pav. superior</t>
  </si>
  <si>
    <t>Quadra/Arquibancadas</t>
  </si>
  <si>
    <t>Hall dos sanitários</t>
  </si>
  <si>
    <t>Lab Especial</t>
  </si>
  <si>
    <t>Laboratório 1</t>
  </si>
  <si>
    <t>Laboratório 2</t>
  </si>
  <si>
    <t>Laboratório 3</t>
  </si>
  <si>
    <t>Laboratório 4</t>
  </si>
  <si>
    <t>Laboratório 5</t>
  </si>
  <si>
    <t>Laboratório 6</t>
  </si>
  <si>
    <t>Laboratório 7</t>
  </si>
  <si>
    <t>Doca</t>
  </si>
  <si>
    <t>Sala dos técnicos de lab.</t>
  </si>
  <si>
    <t>Depósito 1</t>
  </si>
  <si>
    <t>Depósito 2</t>
  </si>
  <si>
    <t>DML – Depósito de material de limpeza</t>
  </si>
  <si>
    <t>Hall para demostrações</t>
  </si>
  <si>
    <t>Guarita</t>
  </si>
  <si>
    <t>WC</t>
  </si>
  <si>
    <t>Conteiner</t>
  </si>
  <si>
    <t>Laboratório móvel</t>
  </si>
  <si>
    <t>Area de carga/descarga</t>
  </si>
  <si>
    <t>Jornada de trabalho no semestre em horas (d)</t>
  </si>
  <si>
    <t>LIXEIRAS</t>
  </si>
  <si>
    <t>SANITÁRIO ACESSÍVEL</t>
  </si>
  <si>
    <t>CASA DE BOMBAS 1</t>
  </si>
  <si>
    <t>CASA DE BOMBAS 2</t>
  </si>
  <si>
    <t>AUDITÓRIO</t>
  </si>
  <si>
    <t>SUBESTAÇÃO</t>
  </si>
  <si>
    <t>SANITÁRIO COXIA</t>
  </si>
  <si>
    <t>CIRCULAÇÃO DE VEÍCULOS EM PISO INTERTRAVADO (Estacionamentos)</t>
  </si>
  <si>
    <t>BIBLIOTECA</t>
  </si>
  <si>
    <t>GRAMADO (Estacionamentos e áreas próximas ao blocos)</t>
  </si>
  <si>
    <t>GRAMADO (Lagoas)</t>
  </si>
  <si>
    <t>1º PAVIMENTO</t>
  </si>
  <si>
    <t>BIBLIOTECA/ÁREA DE ESTUDOS</t>
  </si>
  <si>
    <t>CIRCULAÇÃO DE PEDESTRES EM PISO INTERTRAVADO</t>
  </si>
  <si>
    <t>HALL ENTRE O AUDITÓRIO E BIBLIOTECA</t>
  </si>
  <si>
    <t>HALL</t>
  </si>
  <si>
    <t>CIRCULAÇÃO DE PEDESTRES, PISO EM CIMENTO DESEMPENADO</t>
  </si>
  <si>
    <t>DEPÓSITO ABAIXO DA RAMPA</t>
  </si>
  <si>
    <t>PEDAGÓGICO/ADMINISTRATIVO</t>
  </si>
  <si>
    <t>SECRETARIA REGISTRO ACADEMICO</t>
  </si>
  <si>
    <t>PÁTIO CENTRAL DESCOBERTO</t>
  </si>
  <si>
    <t>SALA DE APOIO PROTOCOLO</t>
  </si>
  <si>
    <t>RAMPAS E ESCADAS EM PISO DESEMPENADO</t>
  </si>
  <si>
    <t>DECK DO CONTAINER</t>
  </si>
  <si>
    <t>SALA DE ATENDIMENTO</t>
  </si>
  <si>
    <t>COORD. PEDAGÓGICA - CDPD</t>
  </si>
  <si>
    <t>Não aplica</t>
  </si>
  <si>
    <t>COPA (PIA)</t>
  </si>
  <si>
    <t>COPA DOS SERVIDORES</t>
  </si>
  <si>
    <t>SALA DE REUNIÃO</t>
  </si>
  <si>
    <t>LABORATÓRIO DE INFORMÁTICA I</t>
  </si>
  <si>
    <t>LABORATÓRIO DE INFORMÁTICA II</t>
  </si>
  <si>
    <t>CDGP</t>
  </si>
  <si>
    <t>HALL DOS SANITÁRIOS</t>
  </si>
  <si>
    <t>DIRETORIA DE ADMINISTRAÇÃO</t>
  </si>
  <si>
    <t>DIRETOR</t>
  </si>
  <si>
    <t>SALA DO DIRETOR GERAL</t>
  </si>
  <si>
    <t>RECEPÇÃO DO DIRETOR GERAL</t>
  </si>
  <si>
    <t>SALA DOS PROFESSORES</t>
  </si>
  <si>
    <t>DREP E COORDENAÇÕES</t>
  </si>
  <si>
    <t>DIRETOR DREP</t>
  </si>
  <si>
    <t>SALA TÉCNICA TI</t>
  </si>
  <si>
    <t>ALMOX. LABORATÓRIOS</t>
  </si>
  <si>
    <t>LABORATÓRIO DE QUÍMICA/BIO.</t>
  </si>
  <si>
    <t>Laboratórios</t>
  </si>
  <si>
    <t>SALA DE AULA 1</t>
  </si>
  <si>
    <t>SALA DE AULA 2</t>
  </si>
  <si>
    <t>SALA DE AULA 3</t>
  </si>
  <si>
    <t>SALA DE AULA 4</t>
  </si>
  <si>
    <t>SALA DE AULA 5</t>
  </si>
  <si>
    <t>SALA DE AULA 6</t>
  </si>
  <si>
    <t>SALA DE AULA 7</t>
  </si>
  <si>
    <t>SALA DE AULA 8</t>
  </si>
  <si>
    <t>SALA DE AULA 9</t>
  </si>
  <si>
    <t>SALA DE AULA 10</t>
  </si>
  <si>
    <t>SALA DE AULA 11</t>
  </si>
  <si>
    <t>SALA DE AULA 12</t>
  </si>
  <si>
    <t>RAMPA DE ACESSO AO PAV. SUP.</t>
  </si>
  <si>
    <t>SERVIÇOS/VIVÊNCIA</t>
  </si>
  <si>
    <t>REFEITÓRIO/VIVÊNCIA</t>
  </si>
  <si>
    <t>DML (ESPAÇO CEDIDO)</t>
  </si>
  <si>
    <t>CANTINA (ESPAÇO CEDIDO)</t>
  </si>
  <si>
    <t>BANHEIRO SERVIDOR FEMININO</t>
  </si>
  <si>
    <t>BANHEIRO SERVIDOR MASCULINO</t>
  </si>
  <si>
    <t>DESPENSA (CDAP)</t>
  </si>
  <si>
    <t>DESPENSA FRIA (CDAP)</t>
  </si>
  <si>
    <t>COZINHA (ESPAÇO CEDIDO)</t>
  </si>
  <si>
    <t>ALMOXARIFADO</t>
  </si>
  <si>
    <t>LAVAGEM DE UTENSÍLIOS (ESPAÇO CEDIDO)</t>
  </si>
  <si>
    <t>LIXO (ESPAÇO CEDIDO)</t>
  </si>
  <si>
    <t>REPROGRAFIA (SALA ALUNOS)</t>
  </si>
  <si>
    <t>SALA DOS TERCEIRIZADOS</t>
  </si>
  <si>
    <t>CIRCULAÇÃO 2</t>
  </si>
  <si>
    <t>CIRCULAÇÃO 3</t>
  </si>
  <si>
    <t>CIRCULAÇÃO 4</t>
  </si>
  <si>
    <t>GINÁSIO</t>
  </si>
  <si>
    <t>DEPÓSITO DE MATERIAIS ESPORTIVOS</t>
  </si>
  <si>
    <t>SANITÁRIO/VESTIÁRIO FEMININO</t>
  </si>
  <si>
    <t>SANITÁRIO/VESTIÁRIO MASCULINO</t>
  </si>
  <si>
    <t>SANITÁRIO/VESTIÁRIO PMR</t>
  </si>
  <si>
    <t>ESCADA DE ACESSO AO PAV. SUP.</t>
  </si>
  <si>
    <t>QUADRA/ARQUIBANCADAS</t>
  </si>
  <si>
    <t>COORDENAÇÃO DE ED. FÍSICA</t>
  </si>
  <si>
    <t>SALA MULTIUSO</t>
  </si>
  <si>
    <t>MECÂNICA</t>
  </si>
  <si>
    <t>OFICINA DE PRÁTICA DE ENSINO</t>
  </si>
  <si>
    <t>Oficinas</t>
  </si>
  <si>
    <t>SALA DE AULA PRÁTICA</t>
  </si>
  <si>
    <t>SALA DE FERRAMENTAS</t>
  </si>
  <si>
    <t>LABORATÓRIO 3/ SALA DE AULA</t>
  </si>
  <si>
    <t>LABORATÓRIO 4/ SALA DE AULA</t>
  </si>
  <si>
    <t>SALA DE COORDENAÇÃO</t>
  </si>
  <si>
    <t>SALA DOS TÉCNICOS</t>
  </si>
  <si>
    <t>DEPÓSITO 5</t>
  </si>
  <si>
    <t>DEPÓSITO 6</t>
  </si>
  <si>
    <t>RECEPÇÃO/DOCA/CIRCULAÇÃO</t>
  </si>
  <si>
    <t>LABORATÓRIO 5</t>
  </si>
  <si>
    <t>HALL DE ENTRADA</t>
  </si>
  <si>
    <t>GUARITA</t>
  </si>
  <si>
    <t>SALA APOIO</t>
  </si>
  <si>
    <t xml:space="preserve"> 02 CONTEINERS</t>
  </si>
  <si>
    <t>SALA DE AULA</t>
  </si>
  <si>
    <t>Terreo</t>
  </si>
  <si>
    <t>Hall 1</t>
  </si>
  <si>
    <t>Subestação Elevatória de Esgoto</t>
  </si>
  <si>
    <t>Pátios e áreas verdes com baixa frequência</t>
  </si>
  <si>
    <t xml:space="preserve">face externa sem exposição a situação de risco </t>
  </si>
  <si>
    <t>Hall 2</t>
  </si>
  <si>
    <t>Casa de Bomdas</t>
  </si>
  <si>
    <t>Lagoa</t>
  </si>
  <si>
    <t>Sala Técniaca</t>
  </si>
  <si>
    <t>Concregrama</t>
  </si>
  <si>
    <t>Palco e Acessos</t>
  </si>
  <si>
    <t>Praça do Auditório</t>
  </si>
  <si>
    <t>Coxia</t>
  </si>
  <si>
    <t>Calçadas en torno do Auditório</t>
  </si>
  <si>
    <t>Quadra de Esportes</t>
  </si>
  <si>
    <t xml:space="preserve">Auditório </t>
  </si>
  <si>
    <t>Escada/Acesso</t>
  </si>
  <si>
    <t>Banheiro Masculino</t>
  </si>
  <si>
    <t>Banheiro Feminino</t>
  </si>
  <si>
    <t>Deck do Container</t>
  </si>
  <si>
    <t xml:space="preserve">Banheiro Acessível </t>
  </si>
  <si>
    <t>Calçadas Entorno Predio Adm./Ped.</t>
  </si>
  <si>
    <t>Banheiro Coxia</t>
  </si>
  <si>
    <t>Sala Guarita</t>
  </si>
  <si>
    <t>Admnistrativo/Pedagogico</t>
  </si>
  <si>
    <t>Secretária RGRE</t>
  </si>
  <si>
    <t>DG</t>
  </si>
  <si>
    <t>Não Aplica</t>
  </si>
  <si>
    <t>DREP</t>
  </si>
  <si>
    <t>Banheiro PNE</t>
  </si>
  <si>
    <t>Estúdio Audiovisual</t>
  </si>
  <si>
    <t>Lab. de Artes</t>
  </si>
  <si>
    <t>CDMS/CDAP</t>
  </si>
  <si>
    <t>CDPD</t>
  </si>
  <si>
    <t>Sala de Convivencia</t>
  </si>
  <si>
    <t>Banheiro Servidor Masculino</t>
  </si>
  <si>
    <t>Banheiro Servidor Feminino</t>
  </si>
  <si>
    <t>Sala Técniaca TI</t>
  </si>
  <si>
    <t>Secretaria RA</t>
  </si>
  <si>
    <t>Patio Coberto</t>
  </si>
  <si>
    <t>Circulação/Corredores</t>
  </si>
  <si>
    <t>Pátio Descoberto</t>
  </si>
  <si>
    <t>1 andar</t>
  </si>
  <si>
    <t>Sala dos Professores</t>
  </si>
  <si>
    <t>Sala de Aula 3</t>
  </si>
  <si>
    <t>Sala de Aula 2</t>
  </si>
  <si>
    <t>Almoxarifado Técnio</t>
  </si>
  <si>
    <t>Lab. de Multimídia</t>
  </si>
  <si>
    <t>Sala de Aula 1</t>
  </si>
  <si>
    <t>Sala de Aula 10</t>
  </si>
  <si>
    <t>Sala de Aula 9</t>
  </si>
  <si>
    <t>Sala de Aula 8</t>
  </si>
  <si>
    <t>Sala de Aula 7</t>
  </si>
  <si>
    <t>Sala de Aula 6</t>
  </si>
  <si>
    <t>CDEE</t>
  </si>
  <si>
    <t>Sala de Aula 5</t>
  </si>
  <si>
    <t>Sala de Aula 4</t>
  </si>
  <si>
    <t>DRAP</t>
  </si>
  <si>
    <t>Lab. Informática 2</t>
  </si>
  <si>
    <t>Lab. Informática 1</t>
  </si>
  <si>
    <t>Patio Coberto 2</t>
  </si>
  <si>
    <t>Escada e Rampa</t>
  </si>
  <si>
    <t xml:space="preserve">Escada  </t>
  </si>
  <si>
    <t>Container</t>
  </si>
  <si>
    <t>Interno</t>
  </si>
  <si>
    <t>Pátio central descoberto</t>
  </si>
  <si>
    <t>Lixeira próxima à guarita</t>
  </si>
  <si>
    <t>Lixeira próxima à vivência</t>
  </si>
  <si>
    <t>GLP Bloco pedagógico</t>
  </si>
  <si>
    <t>GLP Vivência</t>
  </si>
  <si>
    <t>Casa de bombas 1</t>
  </si>
  <si>
    <t>Casa de bombas 2</t>
  </si>
  <si>
    <t>Subestação</t>
  </si>
  <si>
    <t>Circulação de veículos em piso intertravado</t>
  </si>
  <si>
    <t>Gramado (Estacionamento e áreas próximas aos blocos)</t>
  </si>
  <si>
    <t>Esquadria externa  - face externa com exposição a situação de risco</t>
  </si>
  <si>
    <t>Gramado (lagoas)</t>
  </si>
  <si>
    <t>Depósito abaixo da escada</t>
  </si>
  <si>
    <t>Circulação de pedestres em piso intertravado</t>
  </si>
  <si>
    <t>Circulação de pedestres, piso em cimento desempenado</t>
  </si>
  <si>
    <t>Rampas e escadas em piso desempenado</t>
  </si>
  <si>
    <t>Coordenação A. estudantil</t>
  </si>
  <si>
    <t>Sala de reunião</t>
  </si>
  <si>
    <t>Laboratório de línguas</t>
  </si>
  <si>
    <t>Laboratório de informática</t>
  </si>
  <si>
    <t>Planejamento individual</t>
  </si>
  <si>
    <t>Direção de ensino</t>
  </si>
  <si>
    <t>Rampa de acesso</t>
  </si>
  <si>
    <t>Cozinha (CEDIDO)</t>
  </si>
  <si>
    <t>Lavagem de utensílios (CEDIDO)</t>
  </si>
  <si>
    <t>Lixo (CEDIDO)</t>
  </si>
  <si>
    <t>DML - Depósito de material de lixo (CEDIDO)</t>
  </si>
  <si>
    <t>Escada de acesso ao pav. superior</t>
  </si>
  <si>
    <t>Laboratório 8</t>
  </si>
  <si>
    <t>Depósito 3</t>
  </si>
  <si>
    <t>Depósito 4</t>
  </si>
  <si>
    <t>Depósito 5</t>
  </si>
  <si>
    <t>Depósito 6</t>
  </si>
  <si>
    <t>Recepção/Doca/Circulação</t>
  </si>
  <si>
    <t>Hall de entrada</t>
  </si>
  <si>
    <t>Multi-Uso</t>
  </si>
  <si>
    <t>WC masculino</t>
  </si>
  <si>
    <t>WC feminino</t>
  </si>
  <si>
    <t>Assistência</t>
  </si>
  <si>
    <t>Coordenação professores</t>
  </si>
  <si>
    <t>Sala professores</t>
  </si>
  <si>
    <t>Diretor</t>
  </si>
  <si>
    <t>Registro acadêmico</t>
  </si>
  <si>
    <t>Atendimento 1</t>
  </si>
  <si>
    <t>Atendimento 2</t>
  </si>
  <si>
    <t>Corredor 1</t>
  </si>
  <si>
    <t>Corredor 2</t>
  </si>
  <si>
    <t>Container 1</t>
  </si>
  <si>
    <t>Espaço do Aluno</t>
  </si>
  <si>
    <t>TOTAL IFB - QUADRO RESUMO M² – VALOR MENSAL / GLOBAL DOS SERVIÇOS</t>
  </si>
  <si>
    <t>Quadro Resumo da Contratação (44h - Segunda à Sexta)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</si>
</sst>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R$&quot;\ #,##0.00;[Red]\-&quot;R$&quot;\ #,##0.00"/>
    <numFmt numFmtId="164" formatCode="[$R$ -416]#,##0.00"/>
    <numFmt numFmtId="165" formatCode="d/m/yyyy"/>
    <numFmt numFmtId="166" formatCode="&quot;R$ &quot;#,##0.00_);[Red]&quot;(R$ &quot;#,##0.00\)"/>
    <numFmt numFmtId="167" formatCode="0.0%"/>
    <numFmt numFmtId="168" formatCode="_(&quot;R$ &quot;* #,##0.00_);_(&quot;R$ &quot;* \(#,##0.00\);_(&quot;R$ &quot;* \-??_);_(@_)"/>
    <numFmt numFmtId="169" formatCode="yyyy\-mm"/>
    <numFmt numFmtId="170" formatCode="#,##0.000"/>
  </numFmts>
  <fonts count="50">
    <font>
      <sz val="10"/>
      <color rgb="FF000000"/>
      <name val="Arial"/>
    </font>
    <font>
      <b/>
      <sz val="20"/>
      <color theme="1"/>
      <name val="Calibri"/>
      <family val="2"/>
    </font>
    <font>
      <sz val="10"/>
      <name val="Arial"/>
      <family val="2"/>
    </font>
    <font>
      <b/>
      <sz val="9"/>
      <color theme="1"/>
      <name val="Arial"/>
      <family val="2"/>
    </font>
    <font>
      <b/>
      <sz val="11"/>
      <color rgb="FF000000"/>
      <name val="Calibri"/>
      <family val="2"/>
    </font>
    <font>
      <sz val="9"/>
      <color theme="1"/>
      <name val="Arial"/>
      <family val="2"/>
    </font>
    <font>
      <b/>
      <sz val="12"/>
      <color theme="1"/>
      <name val="Arial"/>
      <family val="2"/>
    </font>
    <font>
      <b/>
      <sz val="11"/>
      <color theme="1"/>
      <name val="Arial"/>
      <family val="2"/>
    </font>
    <font>
      <b/>
      <sz val="22"/>
      <color theme="1"/>
      <name val="Arial"/>
      <family val="2"/>
    </font>
    <font>
      <b/>
      <sz val="10"/>
      <color rgb="FFFFFFFF"/>
      <name val="&quot;Times New Roman&quot;"/>
    </font>
    <font>
      <b/>
      <sz val="10"/>
      <color theme="0"/>
      <name val="&quot;Times New Roman&quot;"/>
    </font>
    <font>
      <b/>
      <sz val="10"/>
      <color rgb="FF000000"/>
      <name val="&quot;Times New Roman&quot;"/>
    </font>
    <font>
      <sz val="10"/>
      <color rgb="FF000000"/>
      <name val="&quot;Times New Roman&quot;"/>
    </font>
    <font>
      <sz val="12"/>
      <color rgb="FF000000"/>
      <name val="&quot;Times New Roman&quot;"/>
    </font>
    <font>
      <sz val="10"/>
      <color theme="1"/>
      <name val="Calibri"/>
      <family val="2"/>
    </font>
    <font>
      <b/>
      <sz val="12"/>
      <color rgb="FF000000"/>
      <name val="Docs-Calibri"/>
    </font>
    <font>
      <b/>
      <sz val="10"/>
      <color rgb="FFFFFFFF"/>
      <name val="Calibri"/>
      <family val="2"/>
    </font>
    <font>
      <b/>
      <sz val="10"/>
      <color theme="1"/>
      <name val="Calibri"/>
      <family val="2"/>
    </font>
    <font>
      <sz val="10"/>
      <color rgb="FFFFFFFF"/>
      <name val="Calibri"/>
      <family val="2"/>
    </font>
    <font>
      <sz val="10"/>
      <color rgb="FF000000"/>
      <name val="Calibri"/>
      <family val="2"/>
    </font>
    <font>
      <b/>
      <sz val="10"/>
      <color theme="1"/>
      <name val="Arial"/>
      <family val="2"/>
    </font>
    <font>
      <sz val="10"/>
      <color theme="1"/>
      <name val="Arial"/>
      <family val="2"/>
    </font>
    <font>
      <sz val="8"/>
      <color theme="1"/>
      <name val="Arial"/>
      <family val="2"/>
    </font>
    <font>
      <b/>
      <sz val="8"/>
      <color theme="1"/>
      <name val="Arial"/>
      <family val="2"/>
    </font>
    <font>
      <u/>
      <sz val="8"/>
      <color rgb="FF0000FF"/>
      <name val="Arial"/>
      <family val="2"/>
    </font>
    <font>
      <sz val="10"/>
      <color rgb="FF000000"/>
      <name val="Arial"/>
      <family val="2"/>
    </font>
    <font>
      <b/>
      <sz val="10"/>
      <color theme="1"/>
      <name val="Times New Roman"/>
      <family val="1"/>
    </font>
    <font>
      <sz val="10"/>
      <color theme="1"/>
      <name val="Times New Roman"/>
      <family val="1"/>
    </font>
    <font>
      <b/>
      <sz val="10"/>
      <color rgb="FF000000"/>
      <name val="Times New Roman"/>
      <family val="1"/>
    </font>
    <font>
      <sz val="11"/>
      <color rgb="FF000000"/>
      <name val="Liberation sans"/>
    </font>
    <font>
      <sz val="10"/>
      <color rgb="FF000000"/>
      <name val="Times New Roman"/>
      <family val="1"/>
    </font>
    <font>
      <b/>
      <sz val="10"/>
      <color rgb="FFFFFFFF"/>
      <name val="Times New Roman"/>
      <family val="1"/>
    </font>
    <font>
      <sz val="11"/>
      <color theme="1"/>
      <name val="&quot;Times New Roman&quot;"/>
    </font>
    <font>
      <b/>
      <sz val="10"/>
      <color rgb="FF000000"/>
      <name val="Arial"/>
      <family val="2"/>
    </font>
    <font>
      <b/>
      <sz val="10"/>
      <color rgb="FF000000"/>
      <name val="Arial"/>
      <family val="2"/>
    </font>
    <font>
      <b/>
      <sz val="11"/>
      <color rgb="FFFFFFFF"/>
      <name val="Calibri"/>
      <family val="2"/>
    </font>
    <font>
      <sz val="11"/>
      <color rgb="FFFFFFFF"/>
      <name val="Calibri"/>
      <family val="2"/>
    </font>
    <font>
      <sz val="10"/>
      <color rgb="FFFF0000"/>
      <name val="Calibri"/>
      <family val="2"/>
    </font>
    <font>
      <sz val="10"/>
      <color rgb="FF000000"/>
      <name val="Calibri"/>
      <family val="2"/>
    </font>
    <font>
      <sz val="11"/>
      <color rgb="FF000000"/>
      <name val="Calibri"/>
      <family val="2"/>
    </font>
    <font>
      <sz val="11"/>
      <color theme="1"/>
      <name val="Calibri"/>
      <family val="2"/>
    </font>
    <font>
      <sz val="10"/>
      <color rgb="FFFFFFFF"/>
      <name val="&quot;Times New Roman&quot;"/>
    </font>
    <font>
      <sz val="10"/>
      <color rgb="FF000000"/>
      <name val="Docs-Calibri"/>
    </font>
    <font>
      <sz val="12"/>
      <color theme="1"/>
      <name val="Calibri"/>
      <family val="2"/>
    </font>
    <font>
      <sz val="10"/>
      <color rgb="FFFF0000"/>
      <name val="Arial"/>
      <family val="2"/>
    </font>
    <font>
      <b/>
      <u/>
      <sz val="10"/>
      <color rgb="FF000000"/>
      <name val="Times New Roman"/>
      <family val="1"/>
    </font>
    <font>
      <b/>
      <u/>
      <sz val="10"/>
      <color theme="1"/>
      <name val="Times New Roman"/>
      <family val="1"/>
    </font>
    <font>
      <sz val="11"/>
      <color theme="1"/>
      <name val="&quot;Times New Roman&quot;, serif"/>
    </font>
    <font>
      <b/>
      <sz val="11"/>
      <color theme="1"/>
      <name val="&quot;Times New Roman&quot;, serif"/>
    </font>
    <font>
      <b/>
      <sz val="10"/>
      <name val="Times New Roman"/>
      <family val="1"/>
    </font>
  </fonts>
  <fills count="23">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2F75B5"/>
        <bgColor rgb="FF2F75B5"/>
      </patternFill>
    </fill>
    <fill>
      <patternFill patternType="solid">
        <fgColor rgb="FFFFFF00"/>
        <bgColor rgb="FFFFFF00"/>
      </patternFill>
    </fill>
    <fill>
      <patternFill patternType="solid">
        <fgColor rgb="FFB7B7B7"/>
        <bgColor rgb="FFB7B7B7"/>
      </patternFill>
    </fill>
    <fill>
      <patternFill patternType="solid">
        <fgColor rgb="FFC0C0C0"/>
        <bgColor rgb="FFC0C0C0"/>
      </patternFill>
    </fill>
    <fill>
      <patternFill patternType="solid">
        <fgColor rgb="FFD9D9D9"/>
        <bgColor rgb="FFD9D9D9"/>
      </patternFill>
    </fill>
    <fill>
      <patternFill patternType="solid">
        <fgColor rgb="FF4285F4"/>
        <bgColor rgb="FF4285F4"/>
      </patternFill>
    </fill>
    <fill>
      <patternFill patternType="solid">
        <fgColor rgb="FF999999"/>
        <bgColor rgb="FF999999"/>
      </patternFill>
    </fill>
    <fill>
      <patternFill patternType="solid">
        <fgColor theme="0"/>
        <bgColor theme="0"/>
      </patternFill>
    </fill>
    <fill>
      <patternFill patternType="solid">
        <fgColor rgb="FFF3F3F3"/>
        <bgColor rgb="FFF3F3F3"/>
      </patternFill>
    </fill>
    <fill>
      <patternFill patternType="solid">
        <fgColor rgb="FF0070C0"/>
        <bgColor rgb="FF0070C0"/>
      </patternFill>
    </fill>
    <fill>
      <patternFill patternType="solid">
        <fgColor theme="0" tint="-0.249977111117893"/>
        <bgColor rgb="FF4285F4"/>
      </patternFill>
    </fill>
    <fill>
      <patternFill patternType="solid">
        <fgColor theme="0" tint="-0.249977111117893"/>
        <bgColor rgb="FFB7B7B7"/>
      </patternFill>
    </fill>
    <fill>
      <patternFill patternType="solid">
        <fgColor theme="0" tint="-0.249977111117893"/>
        <bgColor indexed="64"/>
      </patternFill>
    </fill>
    <fill>
      <patternFill patternType="solid">
        <fgColor theme="0" tint="-0.249977111117893"/>
        <bgColor rgb="FF34A853"/>
      </patternFill>
    </fill>
    <fill>
      <patternFill patternType="solid">
        <fgColor theme="0"/>
        <bgColor rgb="FF4285F4"/>
      </patternFill>
    </fill>
    <fill>
      <patternFill patternType="solid">
        <fgColor theme="0"/>
        <bgColor indexed="64"/>
      </patternFill>
    </fill>
    <fill>
      <patternFill patternType="solid">
        <fgColor theme="0" tint="-0.34998626667073579"/>
        <bgColor rgb="FF4285F4"/>
      </patternFill>
    </fill>
    <fill>
      <patternFill patternType="solid">
        <fgColor theme="0" tint="-0.34998626667073579"/>
        <bgColor indexed="64"/>
      </patternFill>
    </fill>
    <fill>
      <patternFill patternType="solid">
        <fgColor theme="0" tint="-0.34998626667073579"/>
        <bgColor rgb="FFB7B7B7"/>
      </patternFill>
    </fill>
  </fills>
  <borders count="12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thick">
        <color rgb="FF000000"/>
      </left>
      <right/>
      <top style="thick">
        <color rgb="FF000000"/>
      </top>
      <bottom/>
      <diagonal/>
    </border>
    <border>
      <left/>
      <right/>
      <top style="thick">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ck">
        <color rgb="FF000000"/>
      </bottom>
      <diagonal/>
    </border>
    <border>
      <left style="thin">
        <color rgb="FF000000"/>
      </left>
      <right/>
      <top style="medium">
        <color rgb="FF000000"/>
      </top>
      <bottom/>
      <diagonal/>
    </border>
    <border>
      <left/>
      <right style="thin">
        <color rgb="FF000000"/>
      </right>
      <top style="medium">
        <color rgb="FF000000"/>
      </top>
      <bottom/>
      <diagonal/>
    </border>
    <border>
      <left/>
      <right style="medium">
        <color rgb="FF000000"/>
      </right>
      <top style="medium">
        <color rgb="FF000000"/>
      </top>
      <bottom/>
      <diagonal/>
    </border>
    <border>
      <left/>
      <right style="thin">
        <color rgb="FF000000"/>
      </right>
      <top/>
      <bottom/>
      <diagonal/>
    </border>
    <border>
      <left/>
      <right style="medium">
        <color rgb="FF000000"/>
      </right>
      <top/>
      <bottom/>
      <diagonal/>
    </border>
    <border>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bottom style="medium">
        <color rgb="FF000000"/>
      </bottom>
      <diagonal/>
    </border>
    <border>
      <left style="medium">
        <color rgb="FF000000"/>
      </left>
      <right/>
      <top style="medium">
        <color rgb="FF000000"/>
      </top>
      <bottom/>
      <diagonal/>
    </border>
    <border>
      <left/>
      <right style="thin">
        <color rgb="FF000000"/>
      </right>
      <top style="medium">
        <color rgb="FF000000"/>
      </top>
      <bottom style="thin">
        <color rgb="FF000000"/>
      </bottom>
      <diagonal/>
    </border>
    <border>
      <left style="medium">
        <color rgb="FF000000"/>
      </left>
      <right/>
      <top/>
      <bottom/>
      <diagonal/>
    </border>
    <border>
      <left style="medium">
        <color rgb="FF000000"/>
      </left>
      <right/>
      <top/>
      <bottom style="medium">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diagonal/>
    </border>
    <border>
      <left style="thick">
        <color rgb="FF000000"/>
      </left>
      <right style="thin">
        <color rgb="FF000000"/>
      </right>
      <top/>
      <bottom/>
      <diagonal/>
    </border>
    <border>
      <left style="thin">
        <color rgb="FF000000"/>
      </left>
      <right style="thick">
        <color rgb="FF000000"/>
      </right>
      <top/>
      <bottom/>
      <diagonal/>
    </border>
    <border>
      <left style="thick">
        <color rgb="FF000000"/>
      </left>
      <right/>
      <top/>
      <bottom/>
      <diagonal/>
    </border>
    <border>
      <left style="thick">
        <color rgb="FF000000"/>
      </left>
      <right/>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diagonal/>
    </border>
    <border>
      <left style="thin">
        <color rgb="FF000000"/>
      </left>
      <right style="thick">
        <color rgb="FF000000"/>
      </right>
      <top style="thin">
        <color rgb="FF000000"/>
      </top>
      <bottom/>
      <diagonal/>
    </border>
    <border>
      <left style="thick">
        <color rgb="FF000000"/>
      </left>
      <right/>
      <top style="thin">
        <color rgb="FF000000"/>
      </top>
      <bottom/>
      <diagonal/>
    </border>
    <border>
      <left/>
      <right style="thick">
        <color rgb="FF000000"/>
      </right>
      <top style="thin">
        <color rgb="FF000000"/>
      </top>
      <bottom/>
      <diagonal/>
    </border>
    <border>
      <left/>
      <right style="thick">
        <color rgb="FF000000"/>
      </right>
      <top/>
      <bottom/>
      <diagonal/>
    </border>
    <border>
      <left/>
      <right style="thick">
        <color rgb="FF000000"/>
      </right>
      <top/>
      <bottom style="thin">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n">
        <color rgb="FF000000"/>
      </right>
      <top style="thick">
        <color rgb="FF000000"/>
      </top>
      <bottom style="thick">
        <color rgb="FF000000"/>
      </bottom>
      <diagonal/>
    </border>
    <border>
      <left style="thin">
        <color rgb="FF000000"/>
      </left>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right/>
      <top style="medium">
        <color rgb="FF000000"/>
      </top>
      <bottom style="thin">
        <color rgb="FF000000"/>
      </bottom>
      <diagonal/>
    </border>
    <border>
      <left style="thick">
        <color rgb="FF000000"/>
      </left>
      <right style="thick">
        <color rgb="FF000000"/>
      </right>
      <top/>
      <bottom style="thin">
        <color rgb="FF000000"/>
      </bottom>
      <diagonal/>
    </border>
    <border>
      <left style="thin">
        <color rgb="FF000000"/>
      </left>
      <right style="medium">
        <color rgb="FF000000"/>
      </right>
      <top style="medium">
        <color rgb="FF000000"/>
      </top>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diagonal/>
    </border>
    <border>
      <left style="thick">
        <color rgb="FF000000"/>
      </left>
      <right style="thick">
        <color rgb="FF000000"/>
      </right>
      <top/>
      <bottom/>
      <diagonal/>
    </border>
    <border>
      <left style="medium">
        <color rgb="FF000000"/>
      </left>
      <right/>
      <top style="thin">
        <color rgb="FF000000"/>
      </top>
      <bottom/>
      <diagonal/>
    </border>
    <border>
      <left style="thin">
        <color rgb="FF000000"/>
      </left>
      <right style="medium">
        <color rgb="FF000000"/>
      </right>
      <top/>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right style="thick">
        <color rgb="FF000000"/>
      </right>
      <top style="thick">
        <color rgb="FF000000"/>
      </top>
      <bottom/>
      <diagonal/>
    </border>
    <border>
      <left style="thick">
        <color rgb="FF000000"/>
      </left>
      <right style="thick">
        <color rgb="FF000000"/>
      </right>
      <top style="thick">
        <color rgb="FF000000"/>
      </top>
      <bottom/>
      <diagonal/>
    </border>
    <border>
      <left/>
      <right style="thick">
        <color rgb="FF000000"/>
      </right>
      <top style="thin">
        <color rgb="FF000000"/>
      </top>
      <bottom style="thin">
        <color rgb="FF000000"/>
      </bottom>
      <diagonal/>
    </border>
    <border>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style="thick">
        <color rgb="FF000000"/>
      </right>
      <top/>
      <bottom style="thick">
        <color rgb="FF000000"/>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right style="thin">
        <color rgb="FF000000"/>
      </right>
      <top style="thick">
        <color rgb="FF000000"/>
      </top>
      <bottom/>
      <diagonal/>
    </border>
    <border>
      <left style="thin">
        <color rgb="FF000000"/>
      </left>
      <right/>
      <top style="thick">
        <color rgb="FF000000"/>
      </top>
      <bottom/>
      <diagonal/>
    </border>
    <border>
      <left style="thick">
        <color rgb="FF000000"/>
      </left>
      <right style="thin">
        <color rgb="FF000000"/>
      </right>
      <top style="dotted">
        <color rgb="FF000000"/>
      </top>
      <bottom/>
      <diagonal/>
    </border>
    <border>
      <left style="thin">
        <color rgb="FF000000"/>
      </left>
      <right style="thin">
        <color rgb="FF000000"/>
      </right>
      <top style="dotted">
        <color rgb="FF000000"/>
      </top>
      <bottom style="thin">
        <color rgb="FF000000"/>
      </bottom>
      <diagonal/>
    </border>
    <border>
      <left style="thin">
        <color rgb="FF000000"/>
      </left>
      <right style="thin">
        <color rgb="FF000000"/>
      </right>
      <top style="dotted">
        <color rgb="FF000000"/>
      </top>
      <bottom/>
      <diagonal/>
    </border>
    <border>
      <left style="thin">
        <color rgb="FF000000"/>
      </left>
      <right/>
      <top style="dotted">
        <color rgb="FF000000"/>
      </top>
      <bottom style="thin">
        <color rgb="FF000000"/>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ck">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ck">
        <color rgb="FF000000"/>
      </right>
      <top style="dotted">
        <color rgb="FF000000"/>
      </top>
      <bottom style="thin">
        <color rgb="FF000000"/>
      </bottom>
      <diagonal/>
    </border>
    <border>
      <left style="thin">
        <color rgb="FF000000"/>
      </left>
      <right style="thick">
        <color rgb="FF000000"/>
      </right>
      <top style="dotted">
        <color rgb="FF000000"/>
      </top>
      <bottom/>
      <diagonal/>
    </border>
    <border>
      <left style="thin">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56">
    <xf numFmtId="0" fontId="0" fillId="0" borderId="0" xfId="0" applyFont="1" applyAlignment="1"/>
    <xf numFmtId="0" fontId="3" fillId="2" borderId="4" xfId="0" applyFont="1" applyFill="1" applyBorder="1" applyAlignment="1">
      <alignment horizontal="center"/>
    </xf>
    <xf numFmtId="0" fontId="3" fillId="2" borderId="5" xfId="0" applyFont="1" applyFill="1" applyBorder="1" applyAlignment="1">
      <alignment horizontal="center"/>
    </xf>
    <xf numFmtId="0" fontId="5" fillId="2" borderId="5" xfId="0" applyFont="1" applyFill="1" applyBorder="1" applyAlignment="1">
      <alignment horizontal="center"/>
    </xf>
    <xf numFmtId="0" fontId="5" fillId="2" borderId="5" xfId="0" applyFont="1" applyFill="1" applyBorder="1" applyAlignment="1">
      <alignment horizontal="left"/>
    </xf>
    <xf numFmtId="0" fontId="5" fillId="2" borderId="5" xfId="0" applyFont="1" applyFill="1" applyBorder="1" applyAlignment="1">
      <alignment horizontal="center"/>
    </xf>
    <xf numFmtId="3" fontId="5" fillId="2" borderId="5" xfId="0" applyNumberFormat="1" applyFont="1" applyFill="1" applyBorder="1" applyAlignment="1">
      <alignment horizontal="center"/>
    </xf>
    <xf numFmtId="164" fontId="5" fillId="2" borderId="5" xfId="0" applyNumberFormat="1" applyFont="1" applyFill="1" applyBorder="1" applyAlignment="1">
      <alignment horizontal="center"/>
    </xf>
    <xf numFmtId="0" fontId="5" fillId="2" borderId="5" xfId="0" applyFont="1" applyFill="1" applyBorder="1" applyAlignment="1">
      <alignment horizontal="center"/>
    </xf>
    <xf numFmtId="0" fontId="3" fillId="2" borderId="0" xfId="0" applyFont="1" applyFill="1" applyAlignment="1">
      <alignment horizontal="center"/>
    </xf>
    <xf numFmtId="0" fontId="5" fillId="2" borderId="0" xfId="0" applyFont="1" applyFill="1" applyAlignment="1">
      <alignment horizontal="center"/>
    </xf>
    <xf numFmtId="0" fontId="9" fillId="2" borderId="0" xfId="0" applyFont="1" applyFill="1" applyAlignment="1">
      <alignment horizontal="center"/>
    </xf>
    <xf numFmtId="0" fontId="9" fillId="2" borderId="0" xfId="0" applyFont="1" applyFill="1" applyAlignment="1">
      <alignment horizontal="center" vertical="center"/>
    </xf>
    <xf numFmtId="0" fontId="9" fillId="2" borderId="0" xfId="0" applyFont="1" applyFill="1" applyAlignment="1">
      <alignment horizontal="center" vertical="center" wrapText="1"/>
    </xf>
    <xf numFmtId="0" fontId="12" fillId="0" borderId="20" xfId="0" applyFont="1" applyBorder="1" applyAlignment="1"/>
    <xf numFmtId="3" fontId="12" fillId="0" borderId="20" xfId="0" applyNumberFormat="1" applyFont="1" applyBorder="1" applyAlignment="1">
      <alignment horizontal="center"/>
    </xf>
    <xf numFmtId="164" fontId="12" fillId="0" borderId="20" xfId="0" applyNumberFormat="1" applyFont="1" applyBorder="1" applyAlignment="1">
      <alignment horizontal="center"/>
    </xf>
    <xf numFmtId="4" fontId="12" fillId="0" borderId="20" xfId="0" applyNumberFormat="1" applyFont="1" applyBorder="1" applyAlignment="1">
      <alignment horizontal="center"/>
    </xf>
    <xf numFmtId="0" fontId="12" fillId="2" borderId="20" xfId="0" applyFont="1" applyFill="1" applyBorder="1" applyAlignment="1">
      <alignment horizontal="center" vertical="center"/>
    </xf>
    <xf numFmtId="164" fontId="12" fillId="2" borderId="20" xfId="0" applyNumberFormat="1" applyFont="1" applyFill="1" applyBorder="1" applyAlignment="1">
      <alignment horizontal="center" vertical="center"/>
    </xf>
    <xf numFmtId="0" fontId="12" fillId="2" borderId="0" xfId="0" applyFont="1" applyFill="1" applyAlignment="1">
      <alignment horizontal="center" vertical="center"/>
    </xf>
    <xf numFmtId="0" fontId="12" fillId="0" borderId="21" xfId="0" applyFont="1" applyBorder="1" applyAlignment="1"/>
    <xf numFmtId="3" fontId="12" fillId="0" borderId="21" xfId="0" applyNumberFormat="1" applyFont="1" applyBorder="1" applyAlignment="1">
      <alignment horizontal="center"/>
    </xf>
    <xf numFmtId="164" fontId="12" fillId="0" borderId="21" xfId="0" applyNumberFormat="1" applyFont="1" applyBorder="1" applyAlignment="1">
      <alignment horizontal="center"/>
    </xf>
    <xf numFmtId="4" fontId="12" fillId="0" borderId="21" xfId="0" applyNumberFormat="1" applyFont="1" applyBorder="1" applyAlignment="1">
      <alignment horizontal="center"/>
    </xf>
    <xf numFmtId="0" fontId="12" fillId="2" borderId="21" xfId="0" applyFont="1" applyFill="1" applyBorder="1" applyAlignment="1">
      <alignment horizontal="center" vertical="center"/>
    </xf>
    <xf numFmtId="164" fontId="12" fillId="2" borderId="21" xfId="0" applyNumberFormat="1" applyFont="1" applyFill="1" applyBorder="1" applyAlignment="1">
      <alignment horizontal="center" vertical="center"/>
    </xf>
    <xf numFmtId="0" fontId="12" fillId="0" borderId="21" xfId="0" applyFont="1" applyBorder="1" applyAlignment="1">
      <alignment horizontal="center"/>
    </xf>
    <xf numFmtId="0" fontId="12" fillId="0" borderId="18" xfId="0" applyFont="1" applyBorder="1" applyAlignment="1"/>
    <xf numFmtId="0" fontId="12" fillId="0" borderId="18" xfId="0" applyFont="1" applyBorder="1" applyAlignment="1">
      <alignment horizontal="center"/>
    </xf>
    <xf numFmtId="164" fontId="12" fillId="0" borderId="18" xfId="0" applyNumberFormat="1" applyFont="1" applyBorder="1" applyAlignment="1">
      <alignment horizontal="center"/>
    </xf>
    <xf numFmtId="4" fontId="12" fillId="0" borderId="18" xfId="0" applyNumberFormat="1" applyFont="1" applyBorder="1" applyAlignment="1">
      <alignment horizontal="center"/>
    </xf>
    <xf numFmtId="0" fontId="12" fillId="0" borderId="23" xfId="0" applyFont="1" applyBorder="1" applyAlignment="1"/>
    <xf numFmtId="0" fontId="12" fillId="0" borderId="23" xfId="0" applyFont="1" applyBorder="1" applyAlignment="1">
      <alignment horizontal="center"/>
    </xf>
    <xf numFmtId="164" fontId="12" fillId="0" borderId="23" xfId="0" applyNumberFormat="1" applyFont="1" applyBorder="1" applyAlignment="1">
      <alignment horizontal="center"/>
    </xf>
    <xf numFmtId="4" fontId="12" fillId="0" borderId="23" xfId="0" applyNumberFormat="1" applyFont="1" applyBorder="1" applyAlignment="1">
      <alignment horizontal="center"/>
    </xf>
    <xf numFmtId="0" fontId="12" fillId="2" borderId="23" xfId="0" applyFont="1" applyFill="1" applyBorder="1" applyAlignment="1">
      <alignment horizontal="center" vertical="center"/>
    </xf>
    <xf numFmtId="164" fontId="12" fillId="2" borderId="23" xfId="0" applyNumberFormat="1" applyFont="1" applyFill="1" applyBorder="1" applyAlignment="1">
      <alignment horizontal="center" vertical="center"/>
    </xf>
    <xf numFmtId="164" fontId="12" fillId="2" borderId="18" xfId="0" applyNumberFormat="1" applyFont="1" applyFill="1" applyBorder="1" applyAlignment="1">
      <alignment horizontal="center" vertical="center"/>
    </xf>
    <xf numFmtId="4" fontId="12" fillId="0" borderId="4" xfId="0" applyNumberFormat="1" applyFont="1" applyBorder="1" applyAlignment="1">
      <alignment horizontal="center"/>
    </xf>
    <xf numFmtId="0" fontId="12" fillId="2" borderId="4" xfId="0" applyFont="1" applyFill="1" applyBorder="1" applyAlignment="1">
      <alignment horizontal="center" vertical="center"/>
    </xf>
    <xf numFmtId="164" fontId="12" fillId="2" borderId="4" xfId="0" applyNumberFormat="1" applyFont="1" applyFill="1" applyBorder="1" applyAlignment="1">
      <alignment horizontal="center" vertical="center"/>
    </xf>
    <xf numFmtId="3" fontId="12" fillId="0" borderId="23" xfId="0" applyNumberFormat="1" applyFont="1" applyBorder="1" applyAlignment="1">
      <alignment horizontal="center"/>
    </xf>
    <xf numFmtId="0" fontId="12" fillId="2" borderId="6" xfId="0" applyFont="1" applyFill="1" applyBorder="1" applyAlignment="1">
      <alignment horizontal="center" vertical="center"/>
    </xf>
    <xf numFmtId="164" fontId="12" fillId="2" borderId="6" xfId="0" applyNumberFormat="1" applyFont="1" applyFill="1" applyBorder="1" applyAlignment="1">
      <alignment horizontal="center" vertical="center"/>
    </xf>
    <xf numFmtId="0" fontId="11" fillId="2" borderId="25" xfId="0" applyFont="1" applyFill="1" applyBorder="1" applyAlignment="1">
      <alignment horizontal="center" vertical="center"/>
    </xf>
    <xf numFmtId="0" fontId="12" fillId="2" borderId="26" xfId="0" applyFont="1" applyFill="1" applyBorder="1" applyAlignment="1"/>
    <xf numFmtId="3" fontId="12" fillId="2" borderId="26" xfId="0" applyNumberFormat="1" applyFont="1" applyFill="1" applyBorder="1" applyAlignment="1">
      <alignment horizontal="center"/>
    </xf>
    <xf numFmtId="164" fontId="12" fillId="2" borderId="26" xfId="0" applyNumberFormat="1" applyFont="1" applyFill="1" applyBorder="1" applyAlignment="1">
      <alignment horizontal="center"/>
    </xf>
    <xf numFmtId="4" fontId="12" fillId="0" borderId="26" xfId="0" applyNumberFormat="1" applyFont="1" applyBorder="1" applyAlignment="1">
      <alignment horizontal="center"/>
    </xf>
    <xf numFmtId="4" fontId="12" fillId="2" borderId="26" xfId="0" applyNumberFormat="1" applyFont="1" applyFill="1" applyBorder="1" applyAlignment="1">
      <alignment horizontal="center" vertical="center"/>
    </xf>
    <xf numFmtId="0" fontId="12" fillId="2" borderId="26" xfId="0" applyFont="1" applyFill="1" applyBorder="1" applyAlignment="1">
      <alignment horizontal="center" vertical="center"/>
    </xf>
    <xf numFmtId="164" fontId="12" fillId="2" borderId="26" xfId="0" applyNumberFormat="1" applyFont="1" applyFill="1" applyBorder="1" applyAlignment="1">
      <alignment horizontal="center" vertical="center"/>
    </xf>
    <xf numFmtId="0" fontId="11" fillId="0" borderId="27" xfId="0" applyFont="1" applyBorder="1" applyAlignment="1">
      <alignment horizontal="center" vertical="center" wrapText="1"/>
    </xf>
    <xf numFmtId="0" fontId="12" fillId="0" borderId="5" xfId="0" applyFont="1" applyBorder="1" applyAlignment="1"/>
    <xf numFmtId="3" fontId="12" fillId="0" borderId="4" xfId="0" applyNumberFormat="1" applyFont="1" applyBorder="1" applyAlignment="1">
      <alignment horizontal="center"/>
    </xf>
    <xf numFmtId="164" fontId="12" fillId="0" borderId="4" xfId="0" applyNumberFormat="1" applyFont="1" applyBorder="1" applyAlignment="1">
      <alignment horizontal="center"/>
    </xf>
    <xf numFmtId="4" fontId="12" fillId="2" borderId="4" xfId="0" applyNumberFormat="1" applyFont="1" applyFill="1" applyBorder="1" applyAlignment="1">
      <alignment horizontal="center" vertical="center"/>
    </xf>
    <xf numFmtId="4" fontId="9" fillId="4" borderId="21" xfId="0" applyNumberFormat="1" applyFont="1" applyFill="1" applyBorder="1" applyAlignment="1">
      <alignment horizontal="center" vertical="center"/>
    </xf>
    <xf numFmtId="164" fontId="9" fillId="4" borderId="21" xfId="0" applyNumberFormat="1" applyFont="1" applyFill="1" applyBorder="1" applyAlignment="1">
      <alignment horizontal="center" vertical="center"/>
    </xf>
    <xf numFmtId="164" fontId="9" fillId="2" borderId="0" xfId="0" applyNumberFormat="1" applyFont="1" applyFill="1" applyAlignment="1">
      <alignment horizontal="center" vertical="center"/>
    </xf>
    <xf numFmtId="3" fontId="9" fillId="3" borderId="2" xfId="0" applyNumberFormat="1" applyFont="1" applyFill="1" applyBorder="1" applyAlignment="1">
      <alignment horizontal="center" vertical="center"/>
    </xf>
    <xf numFmtId="3" fontId="9" fillId="2" borderId="0" xfId="0" applyNumberFormat="1" applyFont="1" applyFill="1" applyAlignment="1">
      <alignment horizontal="center" vertical="center"/>
    </xf>
    <xf numFmtId="0" fontId="11" fillId="2" borderId="0" xfId="0" applyFont="1" applyFill="1" applyAlignment="1">
      <alignment horizontal="center" vertical="center"/>
    </xf>
    <xf numFmtId="0" fontId="13" fillId="2" borderId="0" xfId="0" applyFont="1" applyFill="1" applyAlignment="1"/>
    <xf numFmtId="0" fontId="12" fillId="2" borderId="0" xfId="0" applyFont="1" applyFill="1" applyAlignment="1">
      <alignment horizontal="center"/>
    </xf>
    <xf numFmtId="0" fontId="11" fillId="2" borderId="0" xfId="0" applyFont="1" applyFill="1" applyAlignment="1">
      <alignment horizontal="center"/>
    </xf>
    <xf numFmtId="0" fontId="14" fillId="2" borderId="0" xfId="0" applyFont="1" applyFill="1"/>
    <xf numFmtId="0" fontId="12" fillId="2" borderId="0" xfId="0" applyFont="1" applyFill="1" applyAlignment="1"/>
    <xf numFmtId="4" fontId="12" fillId="2" borderId="0" xfId="0" applyNumberFormat="1" applyFont="1" applyFill="1" applyAlignment="1">
      <alignment horizontal="center"/>
    </xf>
    <xf numFmtId="3" fontId="12" fillId="2" borderId="0" xfId="0" applyNumberFormat="1" applyFont="1" applyFill="1" applyAlignment="1">
      <alignment horizontal="center"/>
    </xf>
    <xf numFmtId="0" fontId="11" fillId="2" borderId="0" xfId="0" applyFont="1" applyFill="1" applyAlignment="1">
      <alignment horizontal="right"/>
    </xf>
    <xf numFmtId="0" fontId="9" fillId="2" borderId="0" xfId="0" applyFont="1" applyFill="1" applyAlignment="1">
      <alignment horizontal="center"/>
    </xf>
    <xf numFmtId="164" fontId="12" fillId="0" borderId="26" xfId="0" applyNumberFormat="1" applyFont="1" applyBorder="1" applyAlignment="1">
      <alignment horizontal="center"/>
    </xf>
    <xf numFmtId="0" fontId="17" fillId="6" borderId="0" xfId="0" applyFont="1" applyFill="1"/>
    <xf numFmtId="0" fontId="18" fillId="4" borderId="21" xfId="0" applyFont="1" applyFill="1" applyBorder="1" applyAlignment="1"/>
    <xf numFmtId="0" fontId="18" fillId="4" borderId="21" xfId="0" applyFont="1" applyFill="1" applyBorder="1" applyAlignment="1">
      <alignment wrapText="1"/>
    </xf>
    <xf numFmtId="0" fontId="18" fillId="4" borderId="21" xfId="0" applyFont="1" applyFill="1" applyBorder="1" applyAlignment="1">
      <alignment horizontal="center" vertical="center" wrapText="1"/>
    </xf>
    <xf numFmtId="0" fontId="18" fillId="4" borderId="21" xfId="0" applyFont="1" applyFill="1" applyBorder="1" applyAlignment="1">
      <alignment horizontal="center" vertical="center"/>
    </xf>
    <xf numFmtId="0" fontId="14" fillId="0" borderId="21" xfId="0" applyFont="1" applyBorder="1" applyAlignment="1"/>
    <xf numFmtId="49" fontId="18" fillId="4" borderId="21" xfId="0" applyNumberFormat="1" applyFont="1" applyFill="1" applyBorder="1" applyAlignment="1">
      <alignment horizontal="center" vertical="center"/>
    </xf>
    <xf numFmtId="0" fontId="14" fillId="0" borderId="18" xfId="0" applyFont="1" applyBorder="1" applyAlignment="1"/>
    <xf numFmtId="0" fontId="14" fillId="0" borderId="28" xfId="0" applyFont="1" applyBorder="1" applyAlignment="1">
      <alignment horizontal="center"/>
    </xf>
    <xf numFmtId="0" fontId="14" fillId="0" borderId="4" xfId="0" applyFont="1" applyBorder="1" applyAlignment="1">
      <alignment horizontal="center"/>
    </xf>
    <xf numFmtId="0" fontId="19" fillId="0" borderId="23" xfId="0" applyFont="1" applyBorder="1" applyAlignment="1">
      <alignment horizontal="center" vertical="center"/>
    </xf>
    <xf numFmtId="164" fontId="18" fillId="4" borderId="21" xfId="0" applyNumberFormat="1" applyFont="1" applyFill="1" applyBorder="1"/>
    <xf numFmtId="0" fontId="19" fillId="2" borderId="11" xfId="0" applyFont="1" applyFill="1" applyBorder="1" applyAlignment="1">
      <alignment horizontal="center" vertical="center"/>
    </xf>
    <xf numFmtId="4" fontId="19" fillId="0" borderId="4" xfId="0" applyNumberFormat="1" applyFont="1" applyBorder="1" applyAlignment="1">
      <alignment horizontal="center" vertical="center"/>
    </xf>
    <xf numFmtId="0" fontId="14" fillId="0" borderId="0" xfId="0" applyFont="1" applyAlignment="1"/>
    <xf numFmtId="164" fontId="18" fillId="4" borderId="21" xfId="0" applyNumberFormat="1" applyFont="1" applyFill="1" applyBorder="1" applyAlignment="1">
      <alignment horizontal="center"/>
    </xf>
    <xf numFmtId="0" fontId="17" fillId="7" borderId="0" xfId="0" applyFont="1" applyFill="1"/>
    <xf numFmtId="0" fontId="18" fillId="2" borderId="0" xfId="0" applyFont="1" applyFill="1" applyAlignment="1"/>
    <xf numFmtId="0" fontId="18" fillId="2" borderId="0" xfId="0" applyFont="1" applyFill="1" applyAlignment="1">
      <alignment wrapText="1"/>
    </xf>
    <xf numFmtId="0" fontId="14" fillId="2" borderId="0" xfId="0" applyFont="1" applyFill="1" applyAlignment="1"/>
    <xf numFmtId="0" fontId="14" fillId="2" borderId="0" xfId="0" applyFont="1" applyFill="1" applyAlignment="1">
      <alignment horizontal="center"/>
    </xf>
    <xf numFmtId="0" fontId="18" fillId="2" borderId="0" xfId="0" applyFont="1" applyFill="1"/>
    <xf numFmtId="0" fontId="14" fillId="0" borderId="0" xfId="0" applyFont="1" applyAlignment="1"/>
    <xf numFmtId="0" fontId="14" fillId="2" borderId="0" xfId="0" applyFont="1" applyFill="1" applyAlignment="1"/>
    <xf numFmtId="0" fontId="21" fillId="0" borderId="21" xfId="0" applyFont="1" applyBorder="1" applyAlignment="1">
      <alignment horizontal="center"/>
    </xf>
    <xf numFmtId="165" fontId="14" fillId="2" borderId="0" xfId="0" applyNumberFormat="1" applyFont="1" applyFill="1" applyAlignment="1"/>
    <xf numFmtId="166" fontId="14" fillId="2" borderId="0" xfId="0" applyNumberFormat="1" applyFont="1" applyFill="1" applyAlignment="1"/>
    <xf numFmtId="0" fontId="20" fillId="7" borderId="4" xfId="0" applyFont="1" applyFill="1" applyBorder="1" applyAlignment="1">
      <alignment horizontal="center" wrapText="1"/>
    </xf>
    <xf numFmtId="0" fontId="20" fillId="0" borderId="21" xfId="0" applyFont="1" applyBorder="1" applyAlignment="1">
      <alignment horizontal="center"/>
    </xf>
    <xf numFmtId="0" fontId="14" fillId="0" borderId="21" xfId="0" applyFont="1" applyBorder="1" applyAlignment="1"/>
    <xf numFmtId="4" fontId="21" fillId="0" borderId="21" xfId="0" applyNumberFormat="1" applyFont="1" applyBorder="1" applyAlignment="1">
      <alignment horizontal="right"/>
    </xf>
    <xf numFmtId="4" fontId="22" fillId="0" borderId="21" xfId="0" applyNumberFormat="1" applyFont="1" applyBorder="1" applyAlignment="1"/>
    <xf numFmtId="10" fontId="14" fillId="0" borderId="21" xfId="0" applyNumberFormat="1" applyFont="1" applyBorder="1" applyAlignment="1"/>
    <xf numFmtId="2" fontId="21" fillId="0" borderId="21" xfId="0" applyNumberFormat="1" applyFont="1" applyBorder="1" applyAlignment="1">
      <alignment horizontal="right"/>
    </xf>
    <xf numFmtId="2" fontId="14" fillId="0" borderId="0" xfId="0" applyNumberFormat="1" applyFont="1" applyAlignment="1"/>
    <xf numFmtId="4" fontId="20" fillId="0" borderId="21" xfId="0" applyNumberFormat="1" applyFont="1" applyBorder="1" applyAlignment="1">
      <alignment horizontal="right"/>
    </xf>
    <xf numFmtId="4" fontId="14" fillId="0" borderId="0" xfId="0" applyNumberFormat="1" applyFont="1" applyAlignment="1"/>
    <xf numFmtId="2" fontId="14" fillId="0" borderId="21" xfId="0" applyNumberFormat="1" applyFont="1" applyBorder="1" applyAlignment="1"/>
    <xf numFmtId="0" fontId="20" fillId="7" borderId="21" xfId="0" applyFont="1" applyFill="1" applyBorder="1" applyAlignment="1">
      <alignment horizontal="center" wrapText="1"/>
    </xf>
    <xf numFmtId="2" fontId="22" fillId="0" borderId="21" xfId="0" applyNumberFormat="1" applyFont="1" applyBorder="1" applyAlignment="1">
      <alignment wrapText="1"/>
    </xf>
    <xf numFmtId="10" fontId="20" fillId="0" borderId="21" xfId="0" applyNumberFormat="1" applyFont="1" applyBorder="1" applyAlignment="1">
      <alignment horizontal="center"/>
    </xf>
    <xf numFmtId="2" fontId="20" fillId="0" borderId="21" xfId="0" applyNumberFormat="1" applyFont="1" applyBorder="1" applyAlignment="1">
      <alignment horizontal="right"/>
    </xf>
    <xf numFmtId="2" fontId="23" fillId="0" borderId="21" xfId="0" applyNumberFormat="1" applyFont="1" applyBorder="1" applyAlignment="1"/>
    <xf numFmtId="0" fontId="14" fillId="2" borderId="21" xfId="0" applyFont="1" applyFill="1" applyBorder="1" applyAlignment="1"/>
    <xf numFmtId="0" fontId="20" fillId="0" borderId="0" xfId="0" applyFont="1" applyAlignment="1"/>
    <xf numFmtId="2" fontId="20" fillId="0" borderId="0" xfId="0" applyNumberFormat="1" applyFont="1" applyAlignment="1">
      <alignment horizontal="right"/>
    </xf>
    <xf numFmtId="10" fontId="21" fillId="0" borderId="21" xfId="0" applyNumberFormat="1" applyFont="1" applyBorder="1" applyAlignment="1">
      <alignment horizontal="right"/>
    </xf>
    <xf numFmtId="2" fontId="22" fillId="0" borderId="21" xfId="0" applyNumberFormat="1" applyFont="1" applyBorder="1" applyAlignment="1">
      <alignment wrapText="1"/>
    </xf>
    <xf numFmtId="2" fontId="21" fillId="0" borderId="21" xfId="0" applyNumberFormat="1" applyFont="1" applyBorder="1" applyAlignment="1">
      <alignment horizontal="right"/>
    </xf>
    <xf numFmtId="2" fontId="22" fillId="0" borderId="21" xfId="0" applyNumberFormat="1" applyFont="1" applyBorder="1" applyAlignment="1"/>
    <xf numFmtId="2" fontId="20" fillId="0" borderId="21" xfId="0" applyNumberFormat="1" applyFont="1" applyBorder="1" applyAlignment="1"/>
    <xf numFmtId="4" fontId="22" fillId="0" borderId="21" xfId="0" applyNumberFormat="1" applyFont="1" applyBorder="1" applyAlignment="1"/>
    <xf numFmtId="4" fontId="20" fillId="0" borderId="21" xfId="0" applyNumberFormat="1" applyFont="1" applyBorder="1" applyAlignment="1"/>
    <xf numFmtId="10" fontId="14" fillId="0" borderId="21" xfId="0" applyNumberFormat="1" applyFont="1" applyBorder="1" applyAlignment="1"/>
    <xf numFmtId="2" fontId="24" fillId="0" borderId="21" xfId="0" applyNumberFormat="1" applyFont="1" applyBorder="1" applyAlignment="1">
      <alignment wrapText="1"/>
    </xf>
    <xf numFmtId="10" fontId="14" fillId="0" borderId="0" xfId="0" applyNumberFormat="1" applyFont="1" applyAlignment="1"/>
    <xf numFmtId="10" fontId="21" fillId="2" borderId="21" xfId="0" applyNumberFormat="1" applyFont="1" applyFill="1" applyBorder="1" applyAlignment="1">
      <alignment horizontal="right"/>
    </xf>
    <xf numFmtId="10" fontId="20" fillId="0" borderId="21" xfId="0" applyNumberFormat="1" applyFont="1" applyBorder="1" applyAlignment="1">
      <alignment horizontal="right"/>
    </xf>
    <xf numFmtId="2" fontId="21" fillId="0" borderId="21" xfId="0" applyNumberFormat="1" applyFont="1" applyBorder="1" applyAlignment="1"/>
    <xf numFmtId="2" fontId="22" fillId="0" borderId="21" xfId="0" applyNumberFormat="1" applyFont="1" applyBorder="1" applyAlignment="1"/>
    <xf numFmtId="2" fontId="22" fillId="2" borderId="21" xfId="0" applyNumberFormat="1" applyFont="1" applyFill="1" applyBorder="1" applyAlignment="1"/>
    <xf numFmtId="0" fontId="20" fillId="2" borderId="21" xfId="0" applyFont="1" applyFill="1" applyBorder="1" applyAlignment="1">
      <alignment horizontal="center"/>
    </xf>
    <xf numFmtId="9" fontId="21" fillId="0" borderId="21" xfId="0" applyNumberFormat="1" applyFont="1" applyBorder="1" applyAlignment="1">
      <alignment horizontal="right"/>
    </xf>
    <xf numFmtId="4" fontId="22" fillId="2" borderId="21" xfId="0" applyNumberFormat="1" applyFont="1" applyFill="1" applyBorder="1" applyAlignment="1">
      <alignment wrapText="1"/>
    </xf>
    <xf numFmtId="4" fontId="21" fillId="0" borderId="21" xfId="0" applyNumberFormat="1" applyFont="1" applyBorder="1" applyAlignment="1">
      <alignment horizontal="center"/>
    </xf>
    <xf numFmtId="167" fontId="21" fillId="0" borderId="21" xfId="0" applyNumberFormat="1" applyFont="1" applyBorder="1" applyAlignment="1">
      <alignment horizontal="right"/>
    </xf>
    <xf numFmtId="4" fontId="23" fillId="0" borderId="21" xfId="0" applyNumberFormat="1" applyFont="1" applyBorder="1" applyAlignment="1"/>
    <xf numFmtId="10" fontId="20" fillId="0" borderId="0" xfId="0" applyNumberFormat="1" applyFont="1" applyAlignment="1">
      <alignment horizontal="right"/>
    </xf>
    <xf numFmtId="4" fontId="14" fillId="0" borderId="21" xfId="0" applyNumberFormat="1" applyFont="1" applyBorder="1" applyAlignment="1"/>
    <xf numFmtId="0" fontId="17" fillId="0" borderId="21" xfId="0" applyFont="1" applyBorder="1" applyAlignment="1">
      <alignment horizontal="center"/>
    </xf>
    <xf numFmtId="168" fontId="14" fillId="0" borderId="0" xfId="0" applyNumberFormat="1" applyFont="1" applyAlignment="1"/>
    <xf numFmtId="2" fontId="22" fillId="2" borderId="21" xfId="0" applyNumberFormat="1" applyFont="1" applyFill="1" applyBorder="1" applyAlignment="1"/>
    <xf numFmtId="0" fontId="26" fillId="4" borderId="2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4" borderId="21" xfId="0" applyFont="1" applyFill="1" applyBorder="1" applyAlignment="1">
      <alignment horizontal="center" wrapText="1"/>
    </xf>
    <xf numFmtId="0" fontId="26" fillId="4" borderId="35" xfId="0" applyFont="1" applyFill="1" applyBorder="1" applyAlignment="1">
      <alignment horizontal="center" wrapText="1"/>
    </xf>
    <xf numFmtId="0" fontId="26" fillId="4" borderId="23" xfId="0" applyFont="1" applyFill="1" applyBorder="1" applyAlignment="1">
      <alignment horizontal="center" vertical="center" wrapText="1"/>
    </xf>
    <xf numFmtId="0" fontId="26" fillId="4" borderId="36" xfId="0" applyFont="1" applyFill="1" applyBorder="1" applyAlignment="1">
      <alignment horizontal="center" vertical="center" wrapText="1"/>
    </xf>
    <xf numFmtId="0" fontId="26" fillId="4" borderId="23" xfId="0" applyFont="1" applyFill="1" applyBorder="1" applyAlignment="1">
      <alignment horizontal="center" wrapText="1"/>
    </xf>
    <xf numFmtId="0" fontId="26" fillId="4" borderId="37" xfId="0" applyFont="1" applyFill="1" applyBorder="1" applyAlignment="1">
      <alignment horizontal="center" wrapText="1"/>
    </xf>
    <xf numFmtId="0" fontId="27" fillId="0" borderId="27" xfId="0" applyFont="1" applyBorder="1" applyAlignment="1">
      <alignment wrapText="1"/>
    </xf>
    <xf numFmtId="0" fontId="27" fillId="0" borderId="20" xfId="0" applyFont="1" applyBorder="1" applyAlignment="1">
      <alignment horizontal="center" vertical="center" wrapText="1"/>
    </xf>
    <xf numFmtId="164" fontId="27" fillId="0" borderId="20" xfId="0" applyNumberFormat="1" applyFont="1" applyBorder="1" applyAlignment="1">
      <alignment horizontal="right" wrapText="1"/>
    </xf>
    <xf numFmtId="164" fontId="27" fillId="0" borderId="39" xfId="0" applyNumberFormat="1" applyFont="1" applyBorder="1" applyAlignment="1">
      <alignment horizontal="right" wrapText="1"/>
    </xf>
    <xf numFmtId="0" fontId="27" fillId="0" borderId="41" xfId="0" applyFont="1" applyBorder="1" applyAlignment="1">
      <alignment wrapText="1"/>
    </xf>
    <xf numFmtId="0" fontId="27" fillId="0" borderId="21" xfId="0" applyFont="1" applyBorder="1" applyAlignment="1">
      <alignment horizontal="center" vertical="center" wrapText="1"/>
    </xf>
    <xf numFmtId="0" fontId="27" fillId="0" borderId="21" xfId="0" applyFont="1" applyBorder="1" applyAlignment="1">
      <alignment horizontal="center" vertical="center" wrapText="1"/>
    </xf>
    <xf numFmtId="164" fontId="27" fillId="0" borderId="21" xfId="0" applyNumberFormat="1" applyFont="1" applyBorder="1" applyAlignment="1">
      <alignment horizontal="right" wrapText="1"/>
    </xf>
    <xf numFmtId="164" fontId="27" fillId="0" borderId="35" xfId="0" applyNumberFormat="1" applyFont="1" applyBorder="1" applyAlignment="1">
      <alignment horizontal="right" wrapText="1"/>
    </xf>
    <xf numFmtId="0" fontId="26" fillId="0" borderId="41" xfId="0" applyFont="1" applyBorder="1" applyAlignment="1">
      <alignment wrapText="1"/>
    </xf>
    <xf numFmtId="0" fontId="27" fillId="0" borderId="42" xfId="0" applyFont="1" applyBorder="1" applyAlignment="1">
      <alignment wrapText="1"/>
    </xf>
    <xf numFmtId="0" fontId="27" fillId="0" borderId="18" xfId="0" applyFont="1" applyBorder="1" applyAlignment="1">
      <alignment horizontal="center" vertical="center" wrapText="1"/>
    </xf>
    <xf numFmtId="0" fontId="27" fillId="0" borderId="41" xfId="0" applyFont="1" applyBorder="1" applyAlignment="1"/>
    <xf numFmtId="0" fontId="27" fillId="0" borderId="21" xfId="0" applyFont="1" applyBorder="1" applyAlignment="1">
      <alignment horizontal="center" vertical="center"/>
    </xf>
    <xf numFmtId="164" fontId="27" fillId="4" borderId="35" xfId="0" applyNumberFormat="1" applyFont="1" applyFill="1" applyBorder="1" applyAlignment="1">
      <alignment horizontal="right" wrapText="1"/>
    </xf>
    <xf numFmtId="164" fontId="27" fillId="4" borderId="48" xfId="0" applyNumberFormat="1" applyFont="1" applyFill="1" applyBorder="1" applyAlignment="1">
      <alignment horizontal="right" wrapText="1"/>
    </xf>
    <xf numFmtId="0" fontId="27" fillId="2" borderId="0" xfId="0" applyFont="1" applyFill="1"/>
    <xf numFmtId="0" fontId="27" fillId="2" borderId="0" xfId="0" applyFont="1" applyFill="1" applyAlignment="1">
      <alignment horizontal="center" vertical="center" wrapText="1"/>
    </xf>
    <xf numFmtId="0" fontId="27" fillId="0" borderId="0" xfId="0" applyFont="1"/>
    <xf numFmtId="0" fontId="27" fillId="0" borderId="0" xfId="0" applyFont="1" applyAlignment="1">
      <alignment horizontal="center" wrapText="1"/>
    </xf>
    <xf numFmtId="0" fontId="27" fillId="0" borderId="21" xfId="0" applyFont="1" applyBorder="1" applyAlignment="1">
      <alignment horizontal="center" wrapText="1"/>
    </xf>
    <xf numFmtId="0" fontId="27" fillId="0" borderId="51" xfId="0" applyFont="1" applyBorder="1" applyAlignment="1">
      <alignment wrapText="1"/>
    </xf>
    <xf numFmtId="0" fontId="27" fillId="0" borderId="51" xfId="0" applyFont="1" applyBorder="1" applyAlignment="1">
      <alignment horizontal="center" vertical="center" wrapText="1"/>
    </xf>
    <xf numFmtId="164" fontId="27" fillId="0" borderId="20" xfId="0" applyNumberFormat="1" applyFont="1" applyBorder="1" applyAlignment="1">
      <alignment horizontal="right" vertical="center" wrapText="1"/>
    </xf>
    <xf numFmtId="164" fontId="27" fillId="0" borderId="39" xfId="0" applyNumberFormat="1" applyFont="1" applyBorder="1" applyAlignment="1">
      <alignment horizontal="right" vertical="center" wrapText="1"/>
    </xf>
    <xf numFmtId="0" fontId="27" fillId="0" borderId="3" xfId="0" applyFont="1" applyBorder="1" applyAlignment="1">
      <alignment wrapText="1"/>
    </xf>
    <xf numFmtId="0" fontId="27" fillId="0" borderId="5" xfId="0" applyFont="1" applyBorder="1" applyAlignment="1">
      <alignment horizontal="center" vertical="center" wrapText="1"/>
    </xf>
    <xf numFmtId="0" fontId="27" fillId="0" borderId="4" xfId="0" applyFont="1" applyBorder="1" applyAlignment="1">
      <alignment horizontal="center" vertical="center" wrapText="1"/>
    </xf>
    <xf numFmtId="164" fontId="27" fillId="0" borderId="4" xfId="0" applyNumberFormat="1" applyFont="1" applyBorder="1" applyAlignment="1">
      <alignment horizontal="right" vertical="center" wrapText="1"/>
    </xf>
    <xf numFmtId="164" fontId="27" fillId="0" borderId="35" xfId="0" applyNumberFormat="1" applyFont="1" applyBorder="1" applyAlignment="1">
      <alignment horizontal="right" vertical="center" wrapText="1"/>
    </xf>
    <xf numFmtId="0" fontId="27" fillId="0" borderId="3" xfId="0" applyFont="1" applyBorder="1" applyAlignment="1">
      <alignment horizontal="center" vertical="center" wrapText="1"/>
    </xf>
    <xf numFmtId="164" fontId="27" fillId="0" borderId="21" xfId="0" applyNumberFormat="1" applyFont="1" applyBorder="1" applyAlignment="1">
      <alignment horizontal="right" vertical="center" wrapText="1"/>
    </xf>
    <xf numFmtId="0" fontId="27" fillId="0" borderId="9" xfId="0" applyFont="1" applyBorder="1" applyAlignment="1">
      <alignment wrapText="1"/>
    </xf>
    <xf numFmtId="0" fontId="27" fillId="0" borderId="21" xfId="0" applyFont="1" applyBorder="1" applyAlignment="1">
      <alignment wrapText="1"/>
    </xf>
    <xf numFmtId="164" fontId="27" fillId="0" borderId="21" xfId="0" applyNumberFormat="1" applyFont="1" applyBorder="1" applyAlignment="1">
      <alignment horizontal="right" vertical="center" wrapText="1"/>
    </xf>
    <xf numFmtId="0" fontId="27" fillId="0" borderId="2" xfId="0" applyFont="1" applyBorder="1" applyAlignment="1"/>
    <xf numFmtId="0" fontId="29" fillId="0" borderId="0" xfId="0" applyFont="1" applyAlignment="1">
      <alignment vertical="center"/>
    </xf>
    <xf numFmtId="0" fontId="30" fillId="0" borderId="61"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64" xfId="0" applyFont="1" applyBorder="1" applyAlignment="1">
      <alignment horizontal="center" vertical="center" wrapText="1"/>
    </xf>
    <xf numFmtId="0" fontId="30" fillId="0" borderId="61" xfId="0" applyFont="1" applyBorder="1" applyAlignment="1">
      <alignment horizontal="center" vertical="center" wrapText="1"/>
    </xf>
    <xf numFmtId="0" fontId="30" fillId="9" borderId="61" xfId="0" applyFont="1" applyFill="1" applyBorder="1" applyAlignment="1">
      <alignment horizontal="center" vertical="center" wrapText="1"/>
    </xf>
    <xf numFmtId="8" fontId="27" fillId="9" borderId="21" xfId="0" applyNumberFormat="1" applyFont="1" applyFill="1" applyBorder="1" applyAlignment="1">
      <alignment horizontal="center" vertical="center" wrapText="1"/>
    </xf>
    <xf numFmtId="0" fontId="30" fillId="0" borderId="18" xfId="0" applyFont="1" applyBorder="1" applyAlignment="1">
      <alignment horizontal="left" vertical="center" wrapText="1"/>
    </xf>
    <xf numFmtId="164" fontId="29" fillId="0" borderId="0" xfId="0" applyNumberFormat="1" applyFont="1" applyAlignment="1">
      <alignment vertical="center"/>
    </xf>
    <xf numFmtId="0" fontId="30" fillId="0" borderId="21" xfId="0" applyFont="1" applyBorder="1" applyAlignment="1">
      <alignment horizontal="left" vertical="center" wrapText="1"/>
    </xf>
    <xf numFmtId="0" fontId="30" fillId="0" borderId="64" xfId="0" applyFont="1" applyBorder="1" applyAlignment="1">
      <alignment horizontal="center" vertical="center" wrapText="1"/>
    </xf>
    <xf numFmtId="0" fontId="27" fillId="0" borderId="18" xfId="0" applyFont="1" applyBorder="1" applyAlignment="1">
      <alignment horizontal="left" vertical="center" wrapText="1"/>
    </xf>
    <xf numFmtId="0" fontId="30" fillId="0" borderId="21" xfId="0" applyFont="1" applyBorder="1" applyAlignment="1">
      <alignment horizontal="left" vertical="center" wrapText="1"/>
    </xf>
    <xf numFmtId="0" fontId="28" fillId="2" borderId="18"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2" borderId="4" xfId="0" applyFont="1" applyFill="1" applyBorder="1" applyAlignment="1">
      <alignment horizontal="left" vertical="center" wrapText="1"/>
    </xf>
    <xf numFmtId="0" fontId="30" fillId="0" borderId="6" xfId="0" applyFont="1" applyBorder="1" applyAlignment="1">
      <alignment horizontal="left" vertical="center" wrapText="1"/>
    </xf>
    <xf numFmtId="0" fontId="30" fillId="2" borderId="21" xfId="0" applyFont="1" applyFill="1" applyBorder="1" applyAlignment="1">
      <alignment horizontal="left" vertical="center" wrapText="1"/>
    </xf>
    <xf numFmtId="0" fontId="30" fillId="2" borderId="64" xfId="0" applyFont="1" applyFill="1" applyBorder="1" applyAlignment="1">
      <alignment horizontal="center" vertical="center" wrapText="1"/>
    </xf>
    <xf numFmtId="0" fontId="26" fillId="0" borderId="18" xfId="0" applyFont="1" applyBorder="1" applyAlignment="1">
      <alignment horizontal="left" vertical="center" wrapText="1"/>
    </xf>
    <xf numFmtId="0" fontId="27" fillId="0" borderId="6" xfId="0" applyFont="1" applyBorder="1" applyAlignment="1">
      <alignment horizontal="left" vertical="center" wrapText="1"/>
    </xf>
    <xf numFmtId="0" fontId="27" fillId="0" borderId="4" xfId="0" applyFont="1" applyBorder="1" applyAlignment="1">
      <alignment horizontal="left" vertical="center" wrapText="1"/>
    </xf>
    <xf numFmtId="0" fontId="30" fillId="0" borderId="61" xfId="0" applyFont="1" applyBorder="1" applyAlignment="1">
      <alignment horizontal="center" vertical="center"/>
    </xf>
    <xf numFmtId="0" fontId="30" fillId="0" borderId="21" xfId="0" applyFont="1" applyBorder="1" applyAlignment="1">
      <alignment horizontal="left" vertical="center"/>
    </xf>
    <xf numFmtId="0" fontId="30" fillId="0" borderId="64" xfId="0" applyFont="1" applyBorder="1" applyAlignment="1">
      <alignment vertical="center"/>
    </xf>
    <xf numFmtId="0" fontId="30" fillId="0" borderId="61" xfId="0" applyFont="1" applyBorder="1" applyAlignment="1">
      <alignment horizontal="center" vertical="center"/>
    </xf>
    <xf numFmtId="0" fontId="30" fillId="2" borderId="21" xfId="0" applyFont="1" applyFill="1" applyBorder="1" applyAlignment="1">
      <alignment horizontal="left" vertical="center"/>
    </xf>
    <xf numFmtId="0" fontId="30" fillId="2" borderId="64" xfId="0" applyFont="1" applyFill="1" applyBorder="1" applyAlignment="1">
      <alignment vertical="center"/>
    </xf>
    <xf numFmtId="0" fontId="32" fillId="2" borderId="0" xfId="0" applyFont="1" applyFill="1" applyAlignment="1"/>
    <xf numFmtId="0" fontId="32" fillId="2" borderId="21" xfId="0" applyFont="1" applyFill="1" applyBorder="1" applyAlignment="1"/>
    <xf numFmtId="0" fontId="32" fillId="2" borderId="21" xfId="0" applyFont="1" applyFill="1" applyBorder="1" applyAlignment="1">
      <alignment wrapText="1"/>
    </xf>
    <xf numFmtId="0" fontId="32" fillId="0" borderId="21" xfId="0" applyFont="1" applyBorder="1" applyAlignment="1"/>
    <xf numFmtId="0" fontId="30" fillId="0" borderId="65" xfId="0" applyFont="1" applyBorder="1" applyAlignment="1">
      <alignment horizontal="center" vertical="center"/>
    </xf>
    <xf numFmtId="0" fontId="30" fillId="0" borderId="65" xfId="0" applyFont="1" applyBorder="1" applyAlignment="1">
      <alignment horizontal="center" vertical="center"/>
    </xf>
    <xf numFmtId="0" fontId="27" fillId="0" borderId="0" xfId="0" applyFont="1" applyAlignment="1">
      <alignment vertical="center"/>
    </xf>
    <xf numFmtId="0" fontId="27" fillId="0" borderId="41" xfId="0" applyFont="1" applyBorder="1" applyAlignment="1">
      <alignment horizontal="center" vertical="center" wrapText="1"/>
    </xf>
    <xf numFmtId="0" fontId="27" fillId="0" borderId="41" xfId="0" applyFont="1" applyBorder="1" applyAlignment="1">
      <alignment horizontal="center" vertical="center" wrapText="1"/>
    </xf>
    <xf numFmtId="0" fontId="30" fillId="11" borderId="81" xfId="0" applyFont="1" applyFill="1" applyBorder="1" applyAlignment="1">
      <alignment horizontal="center" vertical="center" wrapText="1"/>
    </xf>
    <xf numFmtId="0" fontId="30" fillId="12" borderId="81" xfId="0" applyFont="1" applyFill="1" applyBorder="1" applyAlignment="1">
      <alignment horizontal="center" vertical="center" wrapText="1"/>
    </xf>
    <xf numFmtId="0" fontId="30" fillId="12" borderId="81" xfId="0" applyFont="1" applyFill="1" applyBorder="1" applyAlignment="1">
      <alignment horizontal="center" vertical="center" wrapText="1"/>
    </xf>
    <xf numFmtId="0" fontId="27" fillId="11" borderId="81" xfId="0" applyFont="1" applyFill="1" applyBorder="1" applyAlignment="1">
      <alignment horizontal="center" vertical="center" wrapText="1"/>
    </xf>
    <xf numFmtId="0" fontId="27" fillId="12" borderId="81" xfId="0" applyFont="1" applyFill="1" applyBorder="1" applyAlignment="1">
      <alignment horizontal="center" vertical="center" wrapText="1"/>
    </xf>
    <xf numFmtId="0" fontId="27" fillId="12" borderId="81" xfId="0" applyFont="1" applyFill="1" applyBorder="1" applyAlignment="1">
      <alignment horizontal="center" vertical="center" wrapText="1"/>
    </xf>
    <xf numFmtId="0" fontId="30" fillId="0" borderId="4" xfId="0" applyFont="1" applyBorder="1" applyAlignment="1">
      <alignment horizontal="left" vertical="center" wrapText="1"/>
    </xf>
    <xf numFmtId="0" fontId="27" fillId="0" borderId="41" xfId="0" applyFont="1" applyBorder="1" applyAlignment="1">
      <alignment horizontal="center" vertical="center"/>
    </xf>
    <xf numFmtId="0" fontId="27" fillId="0" borderId="21" xfId="0" applyFont="1" applyBorder="1" applyAlignment="1">
      <alignment horizontal="left" vertical="center" wrapText="1"/>
    </xf>
    <xf numFmtId="0" fontId="27" fillId="0" borderId="64" xfId="0" applyFont="1" applyBorder="1" applyAlignment="1">
      <alignment horizontal="center" vertical="center"/>
    </xf>
    <xf numFmtId="0" fontId="27" fillId="11" borderId="81" xfId="0" applyFont="1" applyFill="1" applyBorder="1" applyAlignment="1">
      <alignment horizontal="center" vertical="center"/>
    </xf>
    <xf numFmtId="0" fontId="27" fillId="12" borderId="81" xfId="0" applyFont="1" applyFill="1" applyBorder="1" applyAlignment="1">
      <alignment horizontal="center" vertical="center"/>
    </xf>
    <xf numFmtId="0" fontId="27" fillId="0" borderId="21" xfId="0" applyFont="1" applyBorder="1" applyAlignment="1">
      <alignment vertical="center" wrapText="1"/>
    </xf>
    <xf numFmtId="0" fontId="27" fillId="0" borderId="0" xfId="0" applyFont="1" applyAlignment="1">
      <alignment vertical="center"/>
    </xf>
    <xf numFmtId="0" fontId="30" fillId="0" borderId="0" xfId="0" applyFont="1" applyAlignment="1">
      <alignment vertical="center"/>
    </xf>
    <xf numFmtId="0" fontId="30" fillId="0" borderId="41" xfId="0" applyFont="1" applyBorder="1" applyAlignment="1">
      <alignment horizontal="center" vertical="center" wrapText="1"/>
    </xf>
    <xf numFmtId="0" fontId="30" fillId="0" borderId="35" xfId="0" applyFont="1" applyBorder="1" applyAlignment="1">
      <alignment horizontal="center" vertical="center" wrapText="1"/>
    </xf>
    <xf numFmtId="0" fontId="27" fillId="2" borderId="90" xfId="0" applyFont="1" applyFill="1" applyBorder="1" applyAlignment="1">
      <alignment horizontal="center" vertical="center" wrapText="1"/>
    </xf>
    <xf numFmtId="0" fontId="27" fillId="2" borderId="81" xfId="0" applyFont="1" applyFill="1" applyBorder="1" applyAlignment="1">
      <alignment horizontal="center" vertical="center" wrapText="1"/>
    </xf>
    <xf numFmtId="0" fontId="30" fillId="0" borderId="81" xfId="0" applyFont="1" applyBorder="1" applyAlignment="1">
      <alignment horizontal="center" vertical="center"/>
    </xf>
    <xf numFmtId="8" fontId="27" fillId="0" borderId="21" xfId="0" applyNumberFormat="1" applyFont="1" applyBorder="1" applyAlignment="1">
      <alignment horizontal="center" vertical="center" wrapText="1"/>
    </xf>
    <xf numFmtId="8" fontId="30" fillId="0" borderId="64" xfId="0" applyNumberFormat="1" applyFont="1" applyBorder="1" applyAlignment="1">
      <alignment horizontal="center" vertical="center" wrapText="1"/>
    </xf>
    <xf numFmtId="0" fontId="26" fillId="0" borderId="6" xfId="0" applyFont="1" applyBorder="1" applyAlignment="1">
      <alignment horizontal="left" vertical="center" wrapText="1"/>
    </xf>
    <xf numFmtId="0" fontId="26" fillId="0" borderId="4" xfId="0" applyFont="1" applyBorder="1" applyAlignment="1">
      <alignment horizontal="left" vertical="center" wrapText="1"/>
    </xf>
    <xf numFmtId="0" fontId="30" fillId="0" borderId="41" xfId="0" applyFont="1" applyBorder="1" applyAlignment="1">
      <alignment horizontal="center" vertical="center"/>
    </xf>
    <xf numFmtId="0" fontId="30" fillId="0" borderId="35" xfId="0" applyFont="1" applyBorder="1" applyAlignment="1">
      <alignment horizontal="center" vertical="center"/>
    </xf>
    <xf numFmtId="0" fontId="30" fillId="0" borderId="90" xfId="0" applyFont="1" applyBorder="1" applyAlignment="1">
      <alignment horizontal="center" vertical="center"/>
    </xf>
    <xf numFmtId="0" fontId="30" fillId="12" borderId="81" xfId="0" applyFont="1" applyFill="1" applyBorder="1" applyAlignment="1">
      <alignment horizontal="center" vertical="center"/>
    </xf>
    <xf numFmtId="0" fontId="30" fillId="0" borderId="81" xfId="0" applyFont="1" applyBorder="1" applyAlignment="1">
      <alignment horizontal="center" vertical="center"/>
    </xf>
    <xf numFmtId="0" fontId="30" fillId="12" borderId="81" xfId="0" applyFont="1" applyFill="1" applyBorder="1" applyAlignment="1">
      <alignment horizontal="center" vertical="center"/>
    </xf>
    <xf numFmtId="0" fontId="30" fillId="0" borderId="90" xfId="0" applyFont="1" applyBorder="1" applyAlignment="1">
      <alignment horizontal="center" vertical="center"/>
    </xf>
    <xf numFmtId="0" fontId="30" fillId="11" borderId="90" xfId="0" applyFont="1" applyFill="1" applyBorder="1" applyAlignment="1">
      <alignment horizontal="center" vertical="center" wrapText="1"/>
    </xf>
    <xf numFmtId="0" fontId="30" fillId="0" borderId="3" xfId="0" applyFont="1" applyBorder="1" applyAlignment="1">
      <alignment horizontal="center" vertical="center"/>
    </xf>
    <xf numFmtId="0" fontId="30" fillId="12" borderId="21" xfId="0" applyFont="1" applyFill="1" applyBorder="1" applyAlignment="1">
      <alignment horizontal="center" vertical="center"/>
    </xf>
    <xf numFmtId="0" fontId="30" fillId="0" borderId="21" xfId="0" applyFont="1" applyBorder="1" applyAlignment="1">
      <alignment horizontal="center" vertical="center"/>
    </xf>
    <xf numFmtId="0" fontId="30" fillId="0" borderId="92" xfId="0" applyFont="1" applyBorder="1" applyAlignment="1">
      <alignment horizontal="center" vertical="center"/>
    </xf>
    <xf numFmtId="0" fontId="30" fillId="0" borderId="23" xfId="0" applyFont="1" applyBorder="1" applyAlignment="1">
      <alignment horizontal="left" vertical="center" wrapText="1"/>
    </xf>
    <xf numFmtId="0" fontId="30" fillId="0" borderId="48" xfId="0" applyFont="1" applyBorder="1" applyAlignment="1">
      <alignment horizontal="center" vertical="center" wrapText="1"/>
    </xf>
    <xf numFmtId="0" fontId="12" fillId="0" borderId="103" xfId="0" applyFont="1" applyBorder="1" applyAlignment="1"/>
    <xf numFmtId="4" fontId="12" fillId="0" borderId="103" xfId="0" applyNumberFormat="1" applyFont="1" applyBorder="1" applyAlignment="1">
      <alignment horizontal="center"/>
    </xf>
    <xf numFmtId="3" fontId="12" fillId="0" borderId="103" xfId="0" applyNumberFormat="1" applyFont="1" applyBorder="1" applyAlignment="1">
      <alignment horizontal="center"/>
    </xf>
    <xf numFmtId="0" fontId="12" fillId="0" borderId="105" xfId="0" applyFont="1" applyBorder="1" applyAlignment="1">
      <alignment horizontal="center" vertical="center"/>
    </xf>
    <xf numFmtId="0" fontId="14" fillId="0" borderId="21" xfId="0" applyFont="1" applyBorder="1" applyAlignment="1">
      <alignment horizontal="center"/>
    </xf>
    <xf numFmtId="0" fontId="14" fillId="0" borderId="21" xfId="0" applyFont="1" applyBorder="1" applyAlignment="1">
      <alignment horizontal="center"/>
    </xf>
    <xf numFmtId="0" fontId="11" fillId="0" borderId="61" xfId="0" applyFont="1" applyBorder="1" applyAlignment="1">
      <alignment horizontal="center" vertical="center"/>
    </xf>
    <xf numFmtId="170" fontId="11" fillId="0" borderId="21" xfId="0" applyNumberFormat="1" applyFont="1" applyBorder="1" applyAlignment="1">
      <alignment horizontal="center" vertical="center"/>
    </xf>
    <xf numFmtId="170" fontId="9" fillId="4" borderId="28" xfId="0" applyNumberFormat="1" applyFont="1" applyFill="1" applyBorder="1" applyAlignment="1">
      <alignment horizontal="center"/>
    </xf>
    <xf numFmtId="0" fontId="9" fillId="4" borderId="109" xfId="0" applyFont="1" applyFill="1" applyBorder="1" applyAlignment="1">
      <alignment horizontal="center"/>
    </xf>
    <xf numFmtId="0" fontId="14" fillId="4" borderId="21" xfId="0" applyFont="1" applyFill="1" applyBorder="1" applyAlignment="1">
      <alignment horizontal="center"/>
    </xf>
    <xf numFmtId="4" fontId="11" fillId="2" borderId="0" xfId="0" applyNumberFormat="1" applyFont="1" applyFill="1" applyAlignment="1">
      <alignment horizontal="center"/>
    </xf>
    <xf numFmtId="0" fontId="12" fillId="5" borderId="0" xfId="0" applyFont="1" applyFill="1" applyAlignment="1">
      <alignment horizontal="center"/>
    </xf>
    <xf numFmtId="0" fontId="11" fillId="5" borderId="0" xfId="0" applyFont="1" applyFill="1" applyAlignment="1">
      <alignment horizontal="right"/>
    </xf>
    <xf numFmtId="0" fontId="11" fillId="5" borderId="0" xfId="0" applyFont="1" applyFill="1" applyAlignment="1">
      <alignment horizontal="center"/>
    </xf>
    <xf numFmtId="170" fontId="14" fillId="0" borderId="0" xfId="0" applyNumberFormat="1" applyFont="1" applyAlignment="1"/>
    <xf numFmtId="0" fontId="16" fillId="4" borderId="61" xfId="0" applyFont="1" applyFill="1" applyBorder="1" applyAlignment="1">
      <alignment horizontal="center"/>
    </xf>
    <xf numFmtId="0" fontId="16" fillId="4" borderId="21" xfId="0" applyFont="1" applyFill="1" applyBorder="1" applyAlignment="1">
      <alignment horizontal="center"/>
    </xf>
    <xf numFmtId="0" fontId="16" fillId="4" borderId="64" xfId="0" applyFont="1" applyFill="1" applyBorder="1" applyAlignment="1">
      <alignment horizontal="center"/>
    </xf>
    <xf numFmtId="0" fontId="9" fillId="4" borderId="6" xfId="0" applyFont="1" applyFill="1" applyBorder="1" applyAlignment="1">
      <alignment horizontal="center"/>
    </xf>
    <xf numFmtId="0" fontId="9" fillId="4" borderId="32" xfId="0" applyFont="1" applyFill="1" applyBorder="1" applyAlignment="1">
      <alignment horizontal="center"/>
    </xf>
    <xf numFmtId="0" fontId="16" fillId="4" borderId="2" xfId="0" applyFont="1" applyFill="1" applyBorder="1" applyAlignment="1">
      <alignment horizontal="center"/>
    </xf>
    <xf numFmtId="0" fontId="16" fillId="4" borderId="3" xfId="0" applyFont="1" applyFill="1" applyBorder="1" applyAlignment="1">
      <alignment horizontal="center"/>
    </xf>
    <xf numFmtId="0" fontId="35" fillId="4" borderId="41" xfId="0" applyFont="1" applyFill="1" applyBorder="1" applyAlignment="1">
      <alignment horizontal="center"/>
    </xf>
    <xf numFmtId="0" fontId="35" fillId="4" borderId="21" xfId="0" applyFont="1" applyFill="1" applyBorder="1" applyAlignment="1">
      <alignment horizontal="center"/>
    </xf>
    <xf numFmtId="0" fontId="36" fillId="4" borderId="21" xfId="0" applyFont="1" applyFill="1" applyBorder="1" applyAlignment="1">
      <alignment wrapText="1"/>
    </xf>
    <xf numFmtId="0" fontId="36" fillId="4" borderId="35" xfId="0" applyFont="1" applyFill="1" applyBorder="1" applyAlignment="1">
      <alignment wrapText="1"/>
    </xf>
    <xf numFmtId="0" fontId="14" fillId="0" borderId="61"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1" xfId="0" applyFont="1" applyBorder="1" applyAlignment="1">
      <alignment horizontal="center" vertical="center" wrapText="1"/>
    </xf>
    <xf numFmtId="4" fontId="14" fillId="0" borderId="21" xfId="0" applyNumberFormat="1" applyFont="1" applyBorder="1" applyAlignment="1">
      <alignment horizontal="right"/>
    </xf>
    <xf numFmtId="0" fontId="14" fillId="0" borderId="64" xfId="0" applyFont="1" applyBorder="1" applyAlignment="1">
      <alignment horizontal="center"/>
    </xf>
    <xf numFmtId="0" fontId="14" fillId="0" borderId="41" xfId="0" applyFont="1" applyBorder="1" applyAlignment="1">
      <alignment horizontal="center" wrapText="1"/>
    </xf>
    <xf numFmtId="0" fontId="14" fillId="0" borderId="21" xfId="0" applyFont="1" applyBorder="1" applyAlignment="1">
      <alignment horizontal="center" vertical="center"/>
    </xf>
    <xf numFmtId="4" fontId="14" fillId="0" borderId="21" xfId="0" applyNumberFormat="1" applyFont="1" applyBorder="1" applyAlignment="1">
      <alignment horizontal="center"/>
    </xf>
    <xf numFmtId="0" fontId="14" fillId="0" borderId="35" xfId="0" applyFont="1" applyBorder="1" applyAlignment="1">
      <alignment horizontal="center"/>
    </xf>
    <xf numFmtId="0" fontId="14" fillId="0" borderId="21" xfId="0" applyFont="1" applyBorder="1" applyAlignment="1">
      <alignment horizontal="center" vertical="center" wrapText="1"/>
    </xf>
    <xf numFmtId="0" fontId="36" fillId="4" borderId="21" xfId="0" applyFont="1" applyFill="1" applyBorder="1" applyAlignment="1"/>
    <xf numFmtId="0" fontId="16" fillId="13" borderId="92" xfId="0" applyFont="1" applyFill="1" applyBorder="1" applyAlignment="1">
      <alignment horizontal="center"/>
    </xf>
    <xf numFmtId="0" fontId="16" fillId="13" borderId="23" xfId="0" applyFont="1" applyFill="1" applyBorder="1" applyAlignment="1">
      <alignment horizontal="center"/>
    </xf>
    <xf numFmtId="0" fontId="16" fillId="13" borderId="48" xfId="0" applyFont="1" applyFill="1" applyBorder="1" applyAlignment="1">
      <alignment horizontal="center"/>
    </xf>
    <xf numFmtId="0" fontId="14" fillId="0" borderId="21" xfId="0" applyFont="1" applyBorder="1" applyAlignment="1">
      <alignment wrapText="1"/>
    </xf>
    <xf numFmtId="0" fontId="16" fillId="4" borderId="21" xfId="0" applyFont="1" applyFill="1" applyBorder="1" applyAlignment="1">
      <alignment horizontal="center"/>
    </xf>
    <xf numFmtId="0" fontId="16" fillId="4" borderId="21" xfId="0" applyFont="1" applyFill="1" applyBorder="1" applyAlignment="1">
      <alignment horizont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horizontal="center"/>
    </xf>
    <xf numFmtId="0" fontId="35" fillId="4" borderId="61" xfId="0" applyFont="1" applyFill="1" applyBorder="1" applyAlignment="1">
      <alignment horizontal="center"/>
    </xf>
    <xf numFmtId="0" fontId="36" fillId="4" borderId="64" xfId="0" applyFont="1" applyFill="1" applyBorder="1" applyAlignment="1">
      <alignment wrapText="1"/>
    </xf>
    <xf numFmtId="0" fontId="14" fillId="0" borderId="21" xfId="0" applyFont="1" applyBorder="1" applyAlignment="1">
      <alignment horizontal="center" wrapText="1"/>
    </xf>
    <xf numFmtId="0" fontId="14" fillId="0" borderId="0" xfId="0" applyFont="1" applyAlignment="1">
      <alignment horizontal="center"/>
    </xf>
    <xf numFmtId="0" fontId="35" fillId="2" borderId="0" xfId="0" applyFont="1" applyFill="1" applyAlignment="1">
      <alignment horizontal="center"/>
    </xf>
    <xf numFmtId="0" fontId="36" fillId="2" borderId="0" xfId="0" applyFont="1" applyFill="1" applyAlignment="1"/>
    <xf numFmtId="4" fontId="14" fillId="0" borderId="21" xfId="0" applyNumberFormat="1" applyFont="1" applyBorder="1" applyAlignment="1">
      <alignment horizontal="right" vertical="center" wrapText="1"/>
    </xf>
    <xf numFmtId="0" fontId="14" fillId="2" borderId="0" xfId="0" applyFont="1" applyFill="1" applyAlignment="1">
      <alignment horizontal="center"/>
    </xf>
    <xf numFmtId="0" fontId="9" fillId="4" borderId="61" xfId="0" applyFont="1" applyFill="1" applyBorder="1" applyAlignment="1">
      <alignment horizontal="center"/>
    </xf>
    <xf numFmtId="0" fontId="9" fillId="4" borderId="21" xfId="0" applyFont="1" applyFill="1" applyBorder="1" applyAlignment="1">
      <alignment horizontal="center"/>
    </xf>
    <xf numFmtId="0" fontId="14" fillId="0" borderId="114" xfId="0" applyFont="1" applyBorder="1" applyAlignment="1"/>
    <xf numFmtId="0" fontId="14" fillId="0" borderId="28" xfId="0" applyFont="1" applyBorder="1" applyAlignment="1">
      <alignment horizontal="center" vertical="center"/>
    </xf>
    <xf numFmtId="0" fontId="19" fillId="2" borderId="28" xfId="0" applyFont="1" applyFill="1" applyBorder="1" applyAlignment="1">
      <alignment horizontal="left" wrapText="1"/>
    </xf>
    <xf numFmtId="0" fontId="14" fillId="0" borderId="115" xfId="0" applyFont="1" applyBorder="1" applyAlignment="1">
      <alignment horizontal="center"/>
    </xf>
    <xf numFmtId="0" fontId="12" fillId="0" borderId="4" xfId="0" applyFont="1" applyBorder="1" applyAlignment="1"/>
    <xf numFmtId="0" fontId="12" fillId="0" borderId="63" xfId="0" applyFont="1" applyBorder="1" applyAlignment="1">
      <alignment horizontal="center" vertical="center"/>
    </xf>
    <xf numFmtId="0" fontId="12" fillId="0" borderId="116" xfId="0" applyFont="1" applyBorder="1" applyAlignment="1">
      <alignment horizontal="center" vertical="center"/>
    </xf>
    <xf numFmtId="0" fontId="37" fillId="0" borderId="61" xfId="0" applyFont="1" applyBorder="1" applyAlignment="1">
      <alignment horizontal="center" vertical="center" wrapText="1"/>
    </xf>
    <xf numFmtId="0" fontId="37" fillId="0" borderId="21" xfId="0" applyFont="1" applyBorder="1" applyAlignment="1">
      <alignment horizontal="center" vertical="center" wrapText="1"/>
    </xf>
    <xf numFmtId="4" fontId="37" fillId="0" borderId="21" xfId="0" applyNumberFormat="1" applyFont="1" applyBorder="1" applyAlignment="1">
      <alignment horizontal="right" vertical="center" wrapText="1"/>
    </xf>
    <xf numFmtId="4" fontId="11" fillId="0" borderId="21" xfId="0" applyNumberFormat="1" applyFont="1" applyBorder="1" applyAlignment="1">
      <alignment horizontal="center" vertical="center"/>
    </xf>
    <xf numFmtId="4" fontId="9" fillId="4" borderId="28" xfId="0" applyNumberFormat="1" applyFont="1" applyFill="1" applyBorder="1" applyAlignment="1">
      <alignment horizontal="center"/>
    </xf>
    <xf numFmtId="0" fontId="9" fillId="4" borderId="115" xfId="0" applyFont="1" applyFill="1" applyBorder="1" applyAlignment="1">
      <alignment horizontal="center"/>
    </xf>
    <xf numFmtId="4" fontId="12" fillId="2" borderId="0" xfId="0" applyNumberFormat="1" applyFont="1" applyFill="1" applyAlignment="1">
      <alignment horizontal="center" vertical="center"/>
    </xf>
    <xf numFmtId="0" fontId="16" fillId="2" borderId="0" xfId="0" applyFont="1" applyFill="1" applyAlignment="1">
      <alignment horizontal="center"/>
    </xf>
    <xf numFmtId="0" fontId="16" fillId="2" borderId="0" xfId="0" applyFont="1" applyFill="1" applyAlignment="1">
      <alignment horizontal="center"/>
    </xf>
    <xf numFmtId="4" fontId="9" fillId="2" borderId="0" xfId="0" applyNumberFormat="1" applyFont="1" applyFill="1" applyAlignment="1">
      <alignment horizontal="center" vertical="center"/>
    </xf>
    <xf numFmtId="4" fontId="9" fillId="2" borderId="0" xfId="0" applyNumberFormat="1" applyFont="1" applyFill="1" applyAlignment="1">
      <alignment horizontal="center"/>
    </xf>
    <xf numFmtId="4" fontId="16" fillId="4" borderId="28" xfId="0" applyNumberFormat="1" applyFont="1" applyFill="1" applyBorder="1" applyAlignment="1">
      <alignment horizontal="center"/>
    </xf>
    <xf numFmtId="0" fontId="16" fillId="4" borderId="28" xfId="0" applyFont="1" applyFill="1" applyBorder="1" applyAlignment="1">
      <alignment horizontal="center"/>
    </xf>
    <xf numFmtId="0" fontId="16" fillId="4" borderId="115" xfId="0" applyFont="1" applyFill="1" applyBorder="1" applyAlignment="1">
      <alignment horizontal="center"/>
    </xf>
    <xf numFmtId="0" fontId="19" fillId="0" borderId="61"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1" xfId="0" applyFont="1" applyBorder="1" applyAlignment="1"/>
    <xf numFmtId="0" fontId="14" fillId="0" borderId="21" xfId="0" applyFont="1" applyBorder="1" applyAlignment="1">
      <alignment horizontal="left" wrapText="1"/>
    </xf>
    <xf numFmtId="4" fontId="14" fillId="0" borderId="21" xfId="0" applyNumberFormat="1" applyFont="1" applyBorder="1" applyAlignment="1">
      <alignment horizontal="center" vertical="center"/>
    </xf>
    <xf numFmtId="4" fontId="30" fillId="0" borderId="21" xfId="0" applyNumberFormat="1" applyFont="1" applyBorder="1" applyAlignment="1">
      <alignment horizontal="center" vertical="center"/>
    </xf>
    <xf numFmtId="0" fontId="14" fillId="0" borderId="42" xfId="0" applyFont="1" applyBorder="1" applyAlignment="1">
      <alignment horizontal="center" wrapText="1"/>
    </xf>
    <xf numFmtId="0" fontId="14" fillId="2" borderId="18" xfId="0" applyFont="1" applyFill="1" applyBorder="1" applyAlignment="1">
      <alignment horizontal="center" vertical="center"/>
    </xf>
    <xf numFmtId="0" fontId="14" fillId="0" borderId="18" xfId="0" applyFont="1" applyBorder="1" applyAlignment="1">
      <alignment horizontal="center"/>
    </xf>
    <xf numFmtId="0" fontId="14" fillId="0" borderId="37" xfId="0" applyFont="1" applyBorder="1" applyAlignment="1">
      <alignment horizontal="center"/>
    </xf>
    <xf numFmtId="4" fontId="16" fillId="13" borderId="23" xfId="0" applyNumberFormat="1" applyFont="1" applyFill="1" applyBorder="1" applyAlignment="1">
      <alignment horizontal="center"/>
    </xf>
    <xf numFmtId="0" fontId="14" fillId="0" borderId="0" xfId="0" applyFont="1" applyAlignment="1">
      <alignment horizontal="center" wrapText="1"/>
    </xf>
    <xf numFmtId="0" fontId="14" fillId="0" borderId="18" xfId="0" applyFont="1" applyBorder="1" applyAlignment="1">
      <alignment horizontal="left" wrapText="1"/>
    </xf>
    <xf numFmtId="0" fontId="16" fillId="4" borderId="18" xfId="0" applyFont="1" applyFill="1" applyBorder="1" applyAlignment="1">
      <alignment horizontal="center" wrapText="1"/>
    </xf>
    <xf numFmtId="0" fontId="16" fillId="4" borderId="18" xfId="0" applyFont="1" applyFill="1" applyBorder="1" applyAlignment="1">
      <alignment horizontal="center"/>
    </xf>
    <xf numFmtId="0" fontId="14" fillId="2" borderId="0" xfId="0" applyFont="1" applyFill="1" applyAlignment="1">
      <alignment horizontal="left" wrapText="1"/>
    </xf>
    <xf numFmtId="0" fontId="14" fillId="2" borderId="0" xfId="0" applyFont="1" applyFill="1" applyAlignment="1">
      <alignment horizontal="center" wrapText="1"/>
    </xf>
    <xf numFmtId="0" fontId="16" fillId="2" borderId="0" xfId="0" applyFont="1" applyFill="1" applyAlignment="1">
      <alignment horizontal="center" wrapText="1"/>
    </xf>
    <xf numFmtId="0" fontId="14" fillId="0" borderId="0" xfId="0" applyFont="1" applyAlignment="1">
      <alignment horizontal="left" wrapText="1"/>
    </xf>
    <xf numFmtId="0" fontId="14" fillId="0" borderId="0" xfId="0" applyFont="1" applyAlignment="1">
      <alignment horizontal="center" wrapText="1"/>
    </xf>
    <xf numFmtId="0" fontId="14" fillId="0" borderId="0" xfId="0" applyFont="1" applyAlignment="1">
      <alignment horizontal="center" wrapText="1"/>
    </xf>
    <xf numFmtId="0" fontId="13" fillId="2" borderId="0" xfId="0" applyFont="1" applyFill="1" applyAlignment="1">
      <alignment horizontal="left"/>
    </xf>
    <xf numFmtId="0" fontId="12" fillId="0" borderId="0" xfId="0" applyFont="1" applyAlignment="1">
      <alignment horizontal="center" vertical="center"/>
    </xf>
    <xf numFmtId="0" fontId="14" fillId="0" borderId="4" xfId="0" applyFont="1" applyBorder="1" applyAlignment="1">
      <alignment horizontal="center" wrapText="1"/>
    </xf>
    <xf numFmtId="0" fontId="14" fillId="0" borderId="21" xfId="0" applyFont="1" applyBorder="1"/>
    <xf numFmtId="0" fontId="14" fillId="0" borderId="9" xfId="0" applyFont="1" applyBorder="1" applyAlignment="1">
      <alignment horizontal="center" vertical="center" wrapText="1"/>
    </xf>
    <xf numFmtId="0" fontId="14" fillId="0" borderId="65" xfId="0" applyFont="1" applyBorder="1" applyAlignment="1">
      <alignment horizontal="center" vertical="center" wrapText="1"/>
    </xf>
    <xf numFmtId="49" fontId="19" fillId="0" borderId="5" xfId="0" applyNumberFormat="1" applyFont="1" applyBorder="1" applyAlignment="1">
      <alignment horizontal="left" vertical="center" wrapText="1"/>
    </xf>
    <xf numFmtId="0" fontId="14" fillId="0" borderId="64" xfId="0" applyFont="1" applyBorder="1" applyAlignment="1">
      <alignment horizontal="center"/>
    </xf>
    <xf numFmtId="0" fontId="38" fillId="2" borderId="21" xfId="0" applyFont="1" applyFill="1" applyBorder="1" applyAlignment="1">
      <alignment wrapText="1"/>
    </xf>
    <xf numFmtId="0" fontId="38" fillId="2" borderId="21" xfId="0" applyFont="1" applyFill="1" applyBorder="1" applyAlignment="1">
      <alignment horizontal="center" wrapText="1"/>
    </xf>
    <xf numFmtId="4" fontId="14" fillId="0" borderId="21" xfId="0" applyNumberFormat="1" applyFont="1" applyBorder="1" applyAlignment="1"/>
    <xf numFmtId="0" fontId="39" fillId="2" borderId="21" xfId="0" applyFont="1" applyFill="1" applyBorder="1" applyAlignment="1">
      <alignment horizontal="center" wrapText="1"/>
    </xf>
    <xf numFmtId="4" fontId="39" fillId="2" borderId="21" xfId="0" applyNumberFormat="1" applyFont="1" applyFill="1" applyBorder="1" applyAlignment="1">
      <alignment horizontal="center"/>
    </xf>
    <xf numFmtId="4" fontId="40" fillId="0" borderId="21" xfId="0" applyNumberFormat="1" applyFont="1" applyBorder="1" applyAlignment="1">
      <alignment horizontal="center"/>
    </xf>
    <xf numFmtId="4" fontId="16" fillId="4" borderId="21" xfId="0" applyNumberFormat="1" applyFont="1" applyFill="1" applyBorder="1" applyAlignment="1">
      <alignment horizontal="center"/>
    </xf>
    <xf numFmtId="0" fontId="38" fillId="2" borderId="0" xfId="0" applyFont="1" applyFill="1" applyAlignment="1">
      <alignment horizontal="center" wrapText="1"/>
    </xf>
    <xf numFmtId="4" fontId="38" fillId="2" borderId="0" xfId="0" applyNumberFormat="1" applyFont="1" applyFill="1" applyAlignment="1">
      <alignment horizontal="center"/>
    </xf>
    <xf numFmtId="0" fontId="14" fillId="0" borderId="41" xfId="0" applyFont="1" applyBorder="1" applyAlignment="1">
      <alignment horizontal="center"/>
    </xf>
    <xf numFmtId="4" fontId="16" fillId="2" borderId="0" xfId="0" applyNumberFormat="1" applyFont="1" applyFill="1" applyAlignment="1">
      <alignment horizontal="center"/>
    </xf>
    <xf numFmtId="0" fontId="19" fillId="2" borderId="0" xfId="0" applyFont="1" applyFill="1" applyAlignment="1">
      <alignment horizontal="center" wrapText="1"/>
    </xf>
    <xf numFmtId="0" fontId="41" fillId="2" borderId="0" xfId="0" applyFont="1" applyFill="1" applyAlignment="1"/>
    <xf numFmtId="3" fontId="41" fillId="2" borderId="0" xfId="0" applyNumberFormat="1" applyFont="1" applyFill="1" applyAlignment="1">
      <alignment horizontal="center"/>
    </xf>
    <xf numFmtId="4" fontId="41" fillId="2" borderId="0" xfId="0" applyNumberFormat="1" applyFont="1" applyFill="1" applyAlignment="1">
      <alignment horizontal="center"/>
    </xf>
    <xf numFmtId="0" fontId="41" fillId="2" borderId="0" xfId="0" applyFont="1" applyFill="1" applyAlignment="1">
      <alignment horizontal="center" vertical="center"/>
    </xf>
    <xf numFmtId="4" fontId="41" fillId="2" borderId="0" xfId="0" applyNumberFormat="1" applyFont="1" applyFill="1" applyAlignment="1">
      <alignment horizontal="center" vertical="center"/>
    </xf>
    <xf numFmtId="0" fontId="41" fillId="2" borderId="0" xfId="0" applyFont="1" applyFill="1" applyAlignment="1">
      <alignment horizontal="center"/>
    </xf>
    <xf numFmtId="0" fontId="14" fillId="0" borderId="0" xfId="0" applyFont="1" applyAlignment="1">
      <alignment wrapText="1"/>
    </xf>
    <xf numFmtId="0" fontId="14" fillId="0" borderId="21" xfId="0" applyFont="1" applyBorder="1" applyAlignment="1">
      <alignment horizontal="left" vertical="center" wrapText="1"/>
    </xf>
    <xf numFmtId="0" fontId="39" fillId="2" borderId="21" xfId="0" applyFont="1" applyFill="1" applyBorder="1" applyAlignment="1">
      <alignment horizontal="center" wrapText="1"/>
    </xf>
    <xf numFmtId="0" fontId="39" fillId="2" borderId="21" xfId="0" applyFont="1" applyFill="1" applyBorder="1" applyAlignment="1">
      <alignment horizontal="center"/>
    </xf>
    <xf numFmtId="0" fontId="39" fillId="2" borderId="21" xfId="0" applyFont="1" applyFill="1" applyBorder="1" applyAlignment="1">
      <alignment horizontal="center"/>
    </xf>
    <xf numFmtId="0" fontId="14" fillId="0" borderId="0" xfId="0" applyFont="1" applyAlignment="1">
      <alignment horizontal="center" vertical="center"/>
    </xf>
    <xf numFmtId="0" fontId="42" fillId="2" borderId="21" xfId="0" applyFont="1" applyFill="1" applyBorder="1" applyAlignment="1">
      <alignment horizontal="center"/>
    </xf>
    <xf numFmtId="0" fontId="19" fillId="2" borderId="21" xfId="0" applyFont="1" applyFill="1" applyBorder="1" applyAlignment="1">
      <alignment horizontal="center"/>
    </xf>
    <xf numFmtId="0" fontId="16" fillId="13" borderId="22" xfId="0" applyFont="1" applyFill="1" applyBorder="1" applyAlignment="1">
      <alignment horizontal="center"/>
    </xf>
    <xf numFmtId="0" fontId="16" fillId="13" borderId="24" xfId="0" applyFont="1" applyFill="1" applyBorder="1" applyAlignment="1">
      <alignment horizontal="center"/>
    </xf>
    <xf numFmtId="0" fontId="16" fillId="13" borderId="118" xfId="0" applyFont="1" applyFill="1" applyBorder="1" applyAlignment="1">
      <alignment horizontal="center"/>
    </xf>
    <xf numFmtId="0" fontId="14" fillId="0" borderId="0" xfId="0" applyFont="1" applyAlignment="1">
      <alignment horizontal="left"/>
    </xf>
    <xf numFmtId="0" fontId="42" fillId="2" borderId="0" xfId="0" applyFont="1" applyFill="1" applyAlignment="1">
      <alignment horizontal="center"/>
    </xf>
    <xf numFmtId="0" fontId="19" fillId="2" borderId="0" xfId="0" applyFont="1" applyFill="1" applyAlignment="1">
      <alignment horizontal="center"/>
    </xf>
    <xf numFmtId="0" fontId="14" fillId="2" borderId="0" xfId="0" applyFont="1" applyFill="1" applyAlignment="1">
      <alignment horizontal="left"/>
    </xf>
    <xf numFmtId="0" fontId="14" fillId="2" borderId="0" xfId="0" applyFont="1" applyFill="1" applyAlignment="1">
      <alignment horizontal="center"/>
    </xf>
    <xf numFmtId="0" fontId="18" fillId="0" borderId="0" xfId="0" applyFont="1"/>
    <xf numFmtId="0" fontId="43" fillId="0" borderId="61" xfId="0" applyFont="1" applyBorder="1" applyAlignment="1">
      <alignment horizontal="center" vertical="center" wrapText="1"/>
    </xf>
    <xf numFmtId="0" fontId="16" fillId="4" borderId="41" xfId="0" applyFont="1" applyFill="1" applyBorder="1" applyAlignment="1">
      <alignment horizontal="center"/>
    </xf>
    <xf numFmtId="0" fontId="16" fillId="4" borderId="35" xfId="0" applyFont="1" applyFill="1" applyBorder="1" applyAlignment="1">
      <alignment horizontal="center"/>
    </xf>
    <xf numFmtId="0" fontId="14" fillId="0" borderId="41" xfId="0" applyFont="1" applyBorder="1" applyAlignment="1">
      <alignment horizontal="center" vertical="center" wrapText="1"/>
    </xf>
    <xf numFmtId="4" fontId="16" fillId="13" borderId="24" xfId="0" applyNumberFormat="1" applyFont="1" applyFill="1" applyBorder="1" applyAlignment="1">
      <alignment horizontal="center"/>
    </xf>
    <xf numFmtId="0" fontId="14" fillId="0" borderId="18" xfId="0" applyFont="1" applyBorder="1" applyAlignment="1">
      <alignment horizontal="center"/>
    </xf>
    <xf numFmtId="0" fontId="16" fillId="13" borderId="21" xfId="0" applyFont="1" applyFill="1" applyBorder="1" applyAlignment="1">
      <alignment horizontal="center"/>
    </xf>
    <xf numFmtId="0" fontId="16" fillId="13" borderId="21" xfId="0" applyFont="1" applyFill="1" applyBorder="1" applyAlignment="1">
      <alignment horizontal="center"/>
    </xf>
    <xf numFmtId="0" fontId="11" fillId="2" borderId="0" xfId="0" applyFont="1" applyFill="1" applyAlignment="1">
      <alignment horizontal="center" vertical="center" wrapText="1"/>
    </xf>
    <xf numFmtId="4" fontId="11" fillId="2" borderId="0" xfId="0" applyNumberFormat="1" applyFont="1" applyFill="1" applyAlignment="1">
      <alignment horizontal="center" vertical="center"/>
    </xf>
    <xf numFmtId="4" fontId="16" fillId="4" borderId="23" xfId="0" applyNumberFormat="1" applyFont="1" applyFill="1" applyBorder="1" applyAlignment="1">
      <alignment horizontal="center"/>
    </xf>
    <xf numFmtId="0" fontId="16" fillId="4" borderId="23" xfId="0" applyFont="1" applyFill="1" applyBorder="1" applyAlignment="1">
      <alignment horizontal="center"/>
    </xf>
    <xf numFmtId="0" fontId="16" fillId="4" borderId="48" xfId="0" applyFont="1" applyFill="1" applyBorder="1" applyAlignment="1">
      <alignment horizontal="center"/>
    </xf>
    <xf numFmtId="0" fontId="14" fillId="0" borderId="0" xfId="0" applyFont="1" applyAlignment="1">
      <alignment horizontal="center" vertical="center" wrapText="1"/>
    </xf>
    <xf numFmtId="0" fontId="38" fillId="2" borderId="21" xfId="0" applyFont="1" applyFill="1" applyBorder="1" applyAlignment="1">
      <alignment horizontal="center"/>
    </xf>
    <xf numFmtId="4" fontId="38" fillId="2" borderId="21" xfId="0" applyNumberFormat="1" applyFont="1" applyFill="1" applyBorder="1" applyAlignment="1">
      <alignment horizontal="center"/>
    </xf>
    <xf numFmtId="0" fontId="14" fillId="0" borderId="18" xfId="0" applyFont="1" applyBorder="1" applyAlignment="1">
      <alignment horizontal="center" wrapText="1"/>
    </xf>
    <xf numFmtId="0" fontId="14" fillId="2" borderId="61"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8" fillId="2" borderId="7" xfId="0" applyFont="1" applyFill="1" applyBorder="1" applyAlignment="1">
      <alignment horizontal="center"/>
    </xf>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5" xfId="0" applyFont="1" applyBorder="1"/>
    <xf numFmtId="164" fontId="8" fillId="2" borderId="7" xfId="0" applyNumberFormat="1" applyFont="1" applyFill="1" applyBorder="1" applyAlignment="1">
      <alignment horizontal="center"/>
    </xf>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4" fillId="2" borderId="6" xfId="0" applyFont="1" applyFill="1" applyBorder="1" applyAlignment="1">
      <alignment horizontal="center" vertical="center"/>
    </xf>
    <xf numFmtId="0" fontId="2" fillId="0" borderId="6" xfId="0" applyFont="1" applyBorder="1"/>
    <xf numFmtId="0" fontId="2" fillId="0" borderId="4" xfId="0" applyFont="1" applyBorder="1"/>
    <xf numFmtId="0" fontId="6" fillId="2" borderId="7" xfId="0" applyFont="1" applyFill="1" applyBorder="1" applyAlignment="1">
      <alignment horizontal="center"/>
    </xf>
    <xf numFmtId="3" fontId="6" fillId="2" borderId="6" xfId="0" applyNumberFormat="1" applyFont="1" applyFill="1" applyBorder="1" applyAlignment="1">
      <alignment horizontal="center"/>
    </xf>
    <xf numFmtId="0" fontId="7" fillId="2" borderId="6" xfId="0" applyFont="1" applyFill="1" applyBorder="1" applyAlignment="1">
      <alignment horizontal="center"/>
    </xf>
    <xf numFmtId="164" fontId="7" fillId="2" borderId="6" xfId="0" applyNumberFormat="1" applyFont="1" applyFill="1" applyBorder="1" applyAlignment="1">
      <alignment horizontal="center"/>
    </xf>
    <xf numFmtId="0" fontId="11" fillId="0" borderId="14" xfId="0" applyFont="1" applyBorder="1" applyAlignment="1">
      <alignment horizontal="center" vertical="center"/>
    </xf>
    <xf numFmtId="0" fontId="2" fillId="0" borderId="16" xfId="0" applyFont="1" applyBorder="1"/>
    <xf numFmtId="0" fontId="2" fillId="0" borderId="22" xfId="0" applyFont="1" applyBorder="1"/>
    <xf numFmtId="0" fontId="10" fillId="4" borderId="14" xfId="0" applyFont="1" applyFill="1" applyBorder="1" applyAlignment="1">
      <alignment horizontal="center" vertical="center"/>
    </xf>
    <xf numFmtId="0" fontId="2" fillId="0" borderId="19" xfId="0" applyFont="1" applyBorder="1"/>
    <xf numFmtId="0" fontId="10" fillId="4" borderId="15" xfId="0" applyFont="1" applyFill="1" applyBorder="1" applyAlignment="1">
      <alignment horizontal="center" vertical="center"/>
    </xf>
    <xf numFmtId="0" fontId="9" fillId="4" borderId="6" xfId="0" applyFont="1" applyFill="1" applyBorder="1" applyAlignment="1">
      <alignment horizontal="center" vertical="center" wrapText="1"/>
    </xf>
    <xf numFmtId="0" fontId="9" fillId="4" borderId="17" xfId="0" applyFont="1" applyFill="1" applyBorder="1" applyAlignment="1">
      <alignment horizontal="center" vertical="center"/>
    </xf>
    <xf numFmtId="0" fontId="9" fillId="4" borderId="17"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18"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2" xfId="0" applyFont="1" applyFill="1" applyBorder="1" applyAlignment="1">
      <alignment horizontal="center"/>
    </xf>
    <xf numFmtId="0" fontId="2" fillId="0" borderId="13" xfId="0" applyFont="1" applyBorder="1"/>
    <xf numFmtId="4" fontId="12" fillId="2" borderId="15" xfId="0" applyNumberFormat="1" applyFont="1" applyFill="1" applyBorder="1" applyAlignment="1">
      <alignment horizontal="center" vertical="center"/>
    </xf>
    <xf numFmtId="0" fontId="2" fillId="0" borderId="24" xfId="0" applyFont="1" applyBorder="1"/>
    <xf numFmtId="4" fontId="12" fillId="2" borderId="6" xfId="0" applyNumberFormat="1" applyFont="1" applyFill="1" applyBorder="1" applyAlignment="1">
      <alignment horizontal="center" vertical="center"/>
    </xf>
    <xf numFmtId="0" fontId="9" fillId="2" borderId="0" xfId="0" applyFont="1" applyFill="1" applyAlignment="1">
      <alignment horizontal="center" vertical="center"/>
    </xf>
    <xf numFmtId="0" fontId="0" fillId="0" borderId="0" xfId="0" applyFont="1" applyAlignment="1"/>
    <xf numFmtId="0" fontId="17" fillId="6" borderId="1" xfId="0" applyFont="1" applyFill="1" applyBorder="1"/>
    <xf numFmtId="0" fontId="18" fillId="4" borderId="18" xfId="0" applyFont="1" applyFill="1" applyBorder="1" applyAlignment="1">
      <alignment vertical="center"/>
    </xf>
    <xf numFmtId="0" fontId="14" fillId="0" borderId="1" xfId="0" applyFont="1" applyBorder="1" applyAlignment="1">
      <alignment horizontal="center"/>
    </xf>
    <xf numFmtId="0" fontId="14" fillId="0" borderId="18" xfId="0" applyFont="1" applyBorder="1" applyAlignment="1"/>
    <xf numFmtId="164" fontId="14" fillId="0" borderId="18" xfId="0" applyNumberFormat="1" applyFont="1" applyBorder="1"/>
    <xf numFmtId="3" fontId="19" fillId="0" borderId="18" xfId="0" applyNumberFormat="1" applyFont="1" applyBorder="1" applyAlignment="1">
      <alignment horizontal="center" vertical="center"/>
    </xf>
    <xf numFmtId="0" fontId="19" fillId="0" borderId="18" xfId="0" applyFont="1" applyBorder="1" applyAlignment="1">
      <alignment horizontal="center" vertical="center"/>
    </xf>
    <xf numFmtId="164" fontId="19" fillId="0" borderId="18" xfId="0" applyNumberFormat="1" applyFont="1" applyBorder="1" applyAlignment="1">
      <alignment horizontal="center" vertical="center"/>
    </xf>
    <xf numFmtId="0" fontId="18" fillId="4" borderId="1" xfId="0" applyFont="1" applyFill="1" applyBorder="1" applyAlignment="1">
      <alignment horizontal="center"/>
    </xf>
    <xf numFmtId="0" fontId="17" fillId="7" borderId="1" xfId="0" applyFont="1" applyFill="1" applyBorder="1"/>
    <xf numFmtId="0" fontId="16" fillId="3" borderId="0" xfId="0" applyFont="1" applyFill="1" applyAlignment="1">
      <alignment horizontal="center"/>
    </xf>
    <xf numFmtId="0" fontId="15" fillId="5" borderId="0" xfId="0" applyFont="1" applyFill="1" applyAlignment="1">
      <alignment horizontal="center"/>
    </xf>
    <xf numFmtId="0" fontId="17" fillId="2" borderId="0" xfId="0" applyFont="1" applyFill="1"/>
    <xf numFmtId="0" fontId="14" fillId="2" borderId="0" xfId="0" applyFont="1" applyFill="1" applyAlignment="1">
      <alignment horizontal="center"/>
    </xf>
    <xf numFmtId="0" fontId="14" fillId="2" borderId="0" xfId="0" applyFont="1" applyFill="1" applyAlignment="1"/>
    <xf numFmtId="0" fontId="14" fillId="2" borderId="0" xfId="0" applyFont="1" applyFill="1"/>
    <xf numFmtId="0" fontId="18" fillId="2" borderId="0" xfId="0" applyFont="1" applyFill="1" applyAlignment="1">
      <alignment horizontal="center"/>
    </xf>
    <xf numFmtId="0" fontId="21" fillId="0" borderId="1" xfId="0" applyFont="1" applyBorder="1" applyAlignment="1"/>
    <xf numFmtId="0" fontId="20" fillId="0" borderId="1" xfId="0" applyFont="1" applyBorder="1" applyAlignment="1">
      <alignment horizontal="center"/>
    </xf>
    <xf numFmtId="0" fontId="20" fillId="7" borderId="1" xfId="0" applyFont="1" applyFill="1" applyBorder="1" applyAlignment="1">
      <alignment horizontal="center"/>
    </xf>
    <xf numFmtId="0" fontId="14" fillId="0" borderId="11" xfId="0" applyFont="1" applyBorder="1"/>
    <xf numFmtId="0" fontId="20" fillId="0" borderId="1" xfId="0" applyFont="1" applyBorder="1" applyAlignment="1">
      <alignment wrapText="1"/>
    </xf>
    <xf numFmtId="0" fontId="20" fillId="5" borderId="1" xfId="0" applyFont="1" applyFill="1" applyBorder="1" applyAlignment="1">
      <alignment horizontal="center"/>
    </xf>
    <xf numFmtId="165" fontId="21" fillId="0" borderId="1" xfId="0" applyNumberFormat="1" applyFont="1" applyBorder="1" applyAlignment="1">
      <alignment horizontal="center"/>
    </xf>
    <xf numFmtId="0" fontId="21" fillId="0" borderId="1" xfId="0" applyFont="1" applyBorder="1" applyAlignment="1">
      <alignment horizontal="center"/>
    </xf>
    <xf numFmtId="0" fontId="20" fillId="7" borderId="10" xfId="0" applyFont="1" applyFill="1" applyBorder="1" applyAlignment="1">
      <alignment horizontal="center"/>
    </xf>
    <xf numFmtId="4" fontId="21" fillId="0" borderId="1" xfId="0" applyNumberFormat="1" applyFont="1" applyBorder="1" applyAlignment="1">
      <alignment horizontal="center"/>
    </xf>
    <xf numFmtId="166" fontId="20" fillId="0" borderId="1" xfId="0" applyNumberFormat="1" applyFont="1" applyBorder="1" applyAlignment="1">
      <alignment horizontal="center"/>
    </xf>
    <xf numFmtId="0" fontId="14" fillId="0" borderId="1" xfId="0" applyFont="1" applyBorder="1" applyAlignment="1"/>
    <xf numFmtId="4" fontId="22" fillId="0" borderId="18" xfId="0" applyNumberFormat="1" applyFont="1" applyBorder="1" applyAlignment="1">
      <alignment wrapText="1"/>
    </xf>
    <xf numFmtId="0" fontId="20" fillId="0" borderId="0" xfId="0" applyFont="1" applyAlignment="1"/>
    <xf numFmtId="0" fontId="25" fillId="0" borderId="1" xfId="0" applyFont="1" applyBorder="1" applyAlignment="1"/>
    <xf numFmtId="0" fontId="14" fillId="0" borderId="0" xfId="0" applyFont="1" applyAlignment="1"/>
    <xf numFmtId="0" fontId="20" fillId="0" borderId="1" xfId="0" applyFont="1" applyBorder="1" applyAlignment="1"/>
    <xf numFmtId="0" fontId="20" fillId="8" borderId="10" xfId="0" applyFont="1" applyFill="1" applyBorder="1" applyAlignment="1">
      <alignment horizontal="center"/>
    </xf>
    <xf numFmtId="0" fontId="20" fillId="8" borderId="1" xfId="0" applyFont="1" applyFill="1" applyBorder="1" applyAlignment="1">
      <alignment horizontal="center"/>
    </xf>
    <xf numFmtId="0" fontId="21" fillId="0" borderId="1" xfId="0" applyFont="1" applyBorder="1" applyAlignment="1">
      <alignment wrapText="1"/>
    </xf>
    <xf numFmtId="169" fontId="21" fillId="2" borderId="1" xfId="0" applyNumberFormat="1" applyFont="1" applyFill="1" applyBorder="1" applyAlignment="1">
      <alignment horizontal="center"/>
    </xf>
    <xf numFmtId="0" fontId="27" fillId="4" borderId="38" xfId="0" applyFont="1" applyFill="1" applyBorder="1" applyAlignment="1">
      <alignment horizontal="center" vertical="center" wrapText="1"/>
    </xf>
    <xf numFmtId="0" fontId="2" fillId="0" borderId="40" xfId="0" applyFont="1" applyBorder="1"/>
    <xf numFmtId="0" fontId="2" fillId="0" borderId="44" xfId="0" applyFont="1" applyBorder="1"/>
    <xf numFmtId="0" fontId="26" fillId="4" borderId="43" xfId="0" applyFont="1" applyFill="1" applyBorder="1" applyAlignment="1">
      <alignment horizontal="center" vertical="center" wrapText="1"/>
    </xf>
    <xf numFmtId="0" fontId="26" fillId="4" borderId="45" xfId="0" applyFont="1" applyFill="1" applyBorder="1" applyAlignment="1">
      <alignment horizontal="center"/>
    </xf>
    <xf numFmtId="0" fontId="2" fillId="0" borderId="46" xfId="0" applyFont="1" applyBorder="1"/>
    <xf numFmtId="0" fontId="2" fillId="0" borderId="47" xfId="0" applyFont="1" applyBorder="1"/>
    <xf numFmtId="0" fontId="26" fillId="0" borderId="7" xfId="0" applyFont="1" applyBorder="1" applyAlignment="1">
      <alignment horizontal="center"/>
    </xf>
    <xf numFmtId="0" fontId="26" fillId="4" borderId="14"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6" fillId="4" borderId="29" xfId="0" applyFont="1" applyFill="1" applyBorder="1" applyAlignment="1">
      <alignment horizontal="center" vertical="center" wrapText="1"/>
    </xf>
    <xf numFmtId="0" fontId="2" fillId="0" borderId="30" xfId="0" applyFont="1" applyBorder="1"/>
    <xf numFmtId="0" fontId="2" fillId="0" borderId="17" xfId="0" applyFont="1" applyBorder="1"/>
    <xf numFmtId="0" fontId="2" fillId="0" borderId="32" xfId="0" applyFont="1" applyBorder="1"/>
    <xf numFmtId="0" fontId="2" fillId="0" borderId="31" xfId="0" applyFont="1" applyBorder="1"/>
    <xf numFmtId="0" fontId="2" fillId="0" borderId="33" xfId="0" applyFont="1" applyBorder="1"/>
    <xf numFmtId="0" fontId="2" fillId="0" borderId="34" xfId="0" applyFont="1" applyBorder="1"/>
    <xf numFmtId="0" fontId="27" fillId="4" borderId="50" xfId="0" applyFont="1" applyFill="1" applyBorder="1" applyAlignment="1">
      <alignment horizontal="center" vertical="center" wrapText="1"/>
    </xf>
    <xf numFmtId="0" fontId="2" fillId="0" borderId="52" xfId="0" applyFont="1" applyBorder="1"/>
    <xf numFmtId="0" fontId="2" fillId="0" borderId="53" xfId="0" applyFont="1" applyBorder="1"/>
    <xf numFmtId="0" fontId="26" fillId="4" borderId="30" xfId="0" applyFont="1" applyFill="1" applyBorder="1" applyAlignment="1">
      <alignment horizontal="center" vertical="center" wrapText="1"/>
    </xf>
    <xf numFmtId="0" fontId="2" fillId="0" borderId="49" xfId="0" applyFont="1" applyBorder="1"/>
    <xf numFmtId="0" fontId="2" fillId="0" borderId="59" xfId="0" applyFont="1" applyBorder="1"/>
    <xf numFmtId="0" fontId="2" fillId="0" borderId="60" xfId="0" applyFont="1" applyBorder="1"/>
    <xf numFmtId="0" fontId="2" fillId="0" borderId="57" xfId="0" applyFont="1" applyBorder="1"/>
    <xf numFmtId="0" fontId="2" fillId="0" borderId="62" xfId="0" applyFont="1" applyBorder="1"/>
    <xf numFmtId="0" fontId="2" fillId="0" borderId="58" xfId="0" applyFont="1" applyBorder="1"/>
    <xf numFmtId="0" fontId="2" fillId="0" borderId="63" xfId="0" applyFont="1" applyBorder="1"/>
    <xf numFmtId="0" fontId="30" fillId="0" borderId="65" xfId="0" applyFont="1" applyBorder="1" applyAlignment="1">
      <alignment horizontal="center" vertical="center" wrapText="1"/>
    </xf>
    <xf numFmtId="0" fontId="30" fillId="0" borderId="18" xfId="0" applyFont="1" applyBorder="1" applyAlignment="1">
      <alignment horizontal="left" vertical="center" wrapText="1"/>
    </xf>
    <xf numFmtId="0" fontId="30" fillId="0" borderId="66" xfId="0" applyFont="1" applyBorder="1" applyAlignment="1">
      <alignment horizontal="center" vertical="center" wrapText="1"/>
    </xf>
    <xf numFmtId="0" fontId="30" fillId="2" borderId="18" xfId="0" applyFont="1" applyFill="1" applyBorder="1" applyAlignment="1">
      <alignment horizontal="left" vertical="center" wrapText="1"/>
    </xf>
    <xf numFmtId="0" fontId="30" fillId="2" borderId="66" xfId="0" applyFont="1" applyFill="1" applyBorder="1" applyAlignment="1">
      <alignment horizontal="center" vertical="center" wrapText="1"/>
    </xf>
    <xf numFmtId="0" fontId="30" fillId="0" borderId="68" xfId="0" applyFont="1" applyBorder="1" applyAlignment="1">
      <alignment horizontal="center" vertical="center" wrapText="1"/>
    </xf>
    <xf numFmtId="0" fontId="2" fillId="0" borderId="69" xfId="0" applyFont="1" applyBorder="1"/>
    <xf numFmtId="0" fontId="2" fillId="0" borderId="70" xfId="0" applyFont="1" applyBorder="1"/>
    <xf numFmtId="0" fontId="30" fillId="0" borderId="67" xfId="0" applyFont="1" applyBorder="1" applyAlignment="1">
      <alignment horizontal="center" vertical="center" wrapText="1"/>
    </xf>
    <xf numFmtId="0" fontId="27" fillId="0" borderId="6" xfId="0" applyFont="1" applyBorder="1" applyAlignment="1">
      <alignment horizontal="left" vertical="center" wrapText="1"/>
    </xf>
    <xf numFmtId="0" fontId="30" fillId="0" borderId="6" xfId="0" applyFont="1" applyBorder="1" applyAlignment="1">
      <alignment horizontal="left" vertical="center" wrapText="1"/>
    </xf>
    <xf numFmtId="0" fontId="27" fillId="0" borderId="18" xfId="0" applyFont="1" applyBorder="1" applyAlignment="1">
      <alignment horizontal="left" vertical="center" wrapText="1"/>
    </xf>
    <xf numFmtId="0" fontId="30" fillId="11" borderId="82" xfId="0" applyFont="1" applyFill="1" applyBorder="1" applyAlignment="1">
      <alignment horizontal="center" vertical="center" wrapText="1"/>
    </xf>
    <xf numFmtId="0" fontId="2" fillId="0" borderId="83" xfId="0" applyFont="1" applyBorder="1"/>
    <xf numFmtId="0" fontId="2" fillId="0" borderId="79" xfId="0" applyFont="1" applyBorder="1"/>
    <xf numFmtId="0" fontId="30" fillId="12" borderId="82" xfId="0" applyFont="1" applyFill="1" applyBorder="1" applyAlignment="1">
      <alignment horizontal="center" vertical="center" wrapText="1"/>
    </xf>
    <xf numFmtId="0" fontId="27" fillId="0" borderId="42" xfId="0" applyFont="1" applyBorder="1" applyAlignment="1">
      <alignment horizontal="center" vertical="center" wrapText="1"/>
    </xf>
    <xf numFmtId="0" fontId="27" fillId="0" borderId="84" xfId="0" applyFont="1" applyBorder="1" applyAlignment="1">
      <alignment horizontal="center" vertical="center" wrapText="1"/>
    </xf>
    <xf numFmtId="0" fontId="2" fillId="0" borderId="86" xfId="0" applyFont="1" applyBorder="1"/>
    <xf numFmtId="0" fontId="2" fillId="0" borderId="85" xfId="0" applyFont="1" applyBorder="1"/>
    <xf numFmtId="0" fontId="2" fillId="0" borderId="87" xfId="0" applyFont="1" applyBorder="1"/>
    <xf numFmtId="0" fontId="2" fillId="0" borderId="78" xfId="0" applyFont="1" applyBorder="1"/>
    <xf numFmtId="0" fontId="27" fillId="12" borderId="82" xfId="0" applyFont="1" applyFill="1" applyBorder="1" applyAlignment="1">
      <alignment horizontal="center" vertical="center" wrapText="1"/>
    </xf>
    <xf numFmtId="0" fontId="27" fillId="11" borderId="82"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30" fillId="12" borderId="82" xfId="0" applyFont="1" applyFill="1" applyBorder="1" applyAlignment="1">
      <alignment horizontal="center" vertical="center"/>
    </xf>
    <xf numFmtId="0" fontId="30" fillId="0" borderId="42" xfId="0" applyFont="1" applyBorder="1" applyAlignment="1">
      <alignment horizontal="center" vertical="center" wrapText="1"/>
    </xf>
    <xf numFmtId="0" fontId="30" fillId="0" borderId="37" xfId="0" applyFont="1" applyBorder="1" applyAlignment="1">
      <alignment horizontal="center" vertical="center" wrapText="1"/>
    </xf>
    <xf numFmtId="0" fontId="27" fillId="2" borderId="68" xfId="0" applyFont="1" applyFill="1" applyBorder="1" applyAlignment="1">
      <alignment horizontal="center" vertical="center" wrapText="1"/>
    </xf>
    <xf numFmtId="0" fontId="30" fillId="0" borderId="91" xfId="0" applyFont="1" applyBorder="1" applyAlignment="1">
      <alignment horizontal="center" vertical="center" wrapText="1"/>
    </xf>
    <xf numFmtId="0" fontId="30" fillId="0" borderId="84" xfId="0" applyFont="1" applyBorder="1" applyAlignment="1">
      <alignment horizontal="center" vertical="center" wrapText="1"/>
    </xf>
    <xf numFmtId="0" fontId="10" fillId="4" borderId="54" xfId="0" applyFont="1" applyFill="1" applyBorder="1" applyAlignment="1">
      <alignment horizontal="center" vertical="center"/>
    </xf>
    <xf numFmtId="0" fontId="11" fillId="0" borderId="102" xfId="0" applyFont="1" applyBorder="1" applyAlignment="1">
      <alignment horizontal="center" vertical="center"/>
    </xf>
    <xf numFmtId="170" fontId="11" fillId="0" borderId="104" xfId="0" applyNumberFormat="1" applyFont="1" applyBorder="1" applyAlignment="1">
      <alignment horizontal="center" vertical="center"/>
    </xf>
    <xf numFmtId="0" fontId="11" fillId="0" borderId="65" xfId="0" applyFont="1" applyBorder="1" applyAlignment="1">
      <alignment horizontal="center" vertical="center"/>
    </xf>
    <xf numFmtId="170" fontId="11" fillId="0" borderId="18" xfId="0" applyNumberFormat="1" applyFont="1" applyBorder="1" applyAlignment="1">
      <alignment horizontal="center" vertical="center"/>
    </xf>
    <xf numFmtId="0" fontId="9" fillId="4" borderId="106" xfId="0" applyFont="1" applyFill="1" applyBorder="1" applyAlignment="1">
      <alignment horizontal="center" vertical="center"/>
    </xf>
    <xf numFmtId="0" fontId="2" fillId="0" borderId="107" xfId="0" applyFont="1" applyBorder="1"/>
    <xf numFmtId="0" fontId="2" fillId="0" borderId="108" xfId="0" applyFont="1" applyBorder="1"/>
    <xf numFmtId="0" fontId="9" fillId="3" borderId="97" xfId="0" applyFont="1" applyFill="1" applyBorder="1" applyAlignment="1">
      <alignment horizontal="center"/>
    </xf>
    <xf numFmtId="0" fontId="2" fillId="0" borderId="98" xfId="0" applyFont="1" applyBorder="1"/>
    <xf numFmtId="0" fontId="2" fillId="0" borderId="99" xfId="0" applyFont="1" applyBorder="1"/>
    <xf numFmtId="0" fontId="10" fillId="4" borderId="55" xfId="0" applyFont="1" applyFill="1" applyBorder="1" applyAlignment="1">
      <alignment horizontal="center" vertical="center"/>
    </xf>
    <xf numFmtId="0" fontId="9" fillId="4" borderId="100" xfId="0" applyFont="1" applyFill="1" applyBorder="1" applyAlignment="1">
      <alignment horizontal="center" vertical="center"/>
    </xf>
    <xf numFmtId="0" fontId="10" fillId="4" borderId="55" xfId="0" applyFont="1" applyFill="1" applyBorder="1" applyAlignment="1">
      <alignment horizontal="center" vertical="center" wrapText="1"/>
    </xf>
    <xf numFmtId="0" fontId="10" fillId="4" borderId="101" xfId="0" applyFont="1" applyFill="1" applyBorder="1" applyAlignment="1">
      <alignment horizontal="center" vertical="center"/>
    </xf>
    <xf numFmtId="0" fontId="18" fillId="4" borderId="18" xfId="0" applyFont="1" applyFill="1" applyBorder="1" applyAlignment="1">
      <alignment horizontal="center" vertical="center" wrapText="1"/>
    </xf>
    <xf numFmtId="0" fontId="9" fillId="2" borderId="0" xfId="0" applyFont="1" applyFill="1" applyAlignment="1">
      <alignment horizontal="center"/>
    </xf>
    <xf numFmtId="0" fontId="10" fillId="2" borderId="0" xfId="0" applyFont="1" applyFill="1" applyAlignment="1">
      <alignment horizontal="center" vertical="center"/>
    </xf>
    <xf numFmtId="0" fontId="10" fillId="2" borderId="0" xfId="0" applyFont="1" applyFill="1" applyAlignment="1">
      <alignment horizontal="center" vertical="center" wrapText="1"/>
    </xf>
    <xf numFmtId="0" fontId="9" fillId="2" borderId="0" xfId="0" applyFont="1" applyFill="1" applyAlignment="1">
      <alignment horizontal="center" vertical="center" wrapText="1"/>
    </xf>
    <xf numFmtId="0" fontId="11" fillId="2" borderId="0" xfId="0" applyFont="1" applyFill="1" applyAlignment="1">
      <alignment horizontal="center" vertical="center"/>
    </xf>
    <xf numFmtId="0" fontId="16" fillId="3" borderId="97" xfId="0" applyFont="1" applyFill="1" applyBorder="1" applyAlignment="1">
      <alignment horizontal="center"/>
    </xf>
    <xf numFmtId="0" fontId="9" fillId="3" borderId="11" xfId="0" applyFont="1" applyFill="1" applyBorder="1" applyAlignment="1">
      <alignment horizontal="center"/>
    </xf>
    <xf numFmtId="0" fontId="35" fillId="3" borderId="110" xfId="0" applyFont="1" applyFill="1" applyBorder="1" applyAlignment="1">
      <alignment horizontal="center"/>
    </xf>
    <xf numFmtId="0" fontId="2" fillId="0" borderId="111" xfId="0" applyFont="1" applyBorder="1"/>
    <xf numFmtId="0" fontId="16" fillId="4" borderId="112" xfId="0" applyFont="1" applyFill="1" applyBorder="1" applyAlignment="1">
      <alignment horizontal="center"/>
    </xf>
    <xf numFmtId="0" fontId="2" fillId="0" borderId="90" xfId="0" applyFont="1" applyBorder="1"/>
    <xf numFmtId="0" fontId="9" fillId="4" borderId="1" xfId="0" applyFont="1" applyFill="1" applyBorder="1" applyAlignment="1">
      <alignment horizontal="center"/>
    </xf>
    <xf numFmtId="0" fontId="35" fillId="4" borderId="43" xfId="0" applyFont="1" applyFill="1" applyBorder="1" applyAlignment="1">
      <alignment horizontal="center"/>
    </xf>
    <xf numFmtId="0" fontId="2" fillId="0" borderId="113" xfId="0" applyFont="1" applyBorder="1"/>
    <xf numFmtId="0" fontId="35" fillId="3" borderId="97" xfId="0" applyFont="1" applyFill="1" applyBorder="1" applyAlignment="1">
      <alignment horizontal="center"/>
    </xf>
    <xf numFmtId="0" fontId="10" fillId="4" borderId="32" xfId="0" applyFont="1" applyFill="1" applyBorder="1" applyAlignment="1">
      <alignment horizontal="center" vertical="center"/>
    </xf>
    <xf numFmtId="0" fontId="9" fillId="4" borderId="58" xfId="0" applyFont="1" applyFill="1" applyBorder="1" applyAlignment="1">
      <alignment horizontal="center" vertical="center"/>
    </xf>
    <xf numFmtId="0" fontId="12" fillId="0" borderId="117" xfId="0" applyFont="1" applyBorder="1" applyAlignment="1">
      <alignment horizontal="center" vertical="center"/>
    </xf>
    <xf numFmtId="0" fontId="35" fillId="4" borderId="112" xfId="0" applyFont="1" applyFill="1" applyBorder="1" applyAlignment="1">
      <alignment horizontal="center"/>
    </xf>
    <xf numFmtId="0" fontId="9" fillId="4" borderId="112" xfId="0" applyFont="1" applyFill="1" applyBorder="1" applyAlignment="1">
      <alignment horizontal="center"/>
    </xf>
    <xf numFmtId="0" fontId="10" fillId="4" borderId="57" xfId="0" applyFont="1" applyFill="1" applyBorder="1" applyAlignment="1">
      <alignment horizontal="center" vertical="center"/>
    </xf>
    <xf numFmtId="0" fontId="10" fillId="4" borderId="6" xfId="0" applyFont="1" applyFill="1" applyBorder="1" applyAlignment="1">
      <alignment horizontal="center" vertical="center"/>
    </xf>
    <xf numFmtId="4" fontId="11" fillId="0" borderId="6" xfId="0" applyNumberFormat="1" applyFont="1" applyBorder="1" applyAlignment="1">
      <alignment horizontal="center" vertical="center"/>
    </xf>
    <xf numFmtId="4" fontId="11" fillId="0" borderId="18" xfId="0" applyNumberFormat="1" applyFont="1" applyBorder="1" applyAlignment="1">
      <alignment horizontal="center" vertical="center"/>
    </xf>
    <xf numFmtId="0" fontId="10" fillId="4" borderId="6" xfId="0" applyFont="1" applyFill="1" applyBorder="1" applyAlignment="1">
      <alignment horizontal="center" vertical="center" wrapText="1"/>
    </xf>
    <xf numFmtId="0" fontId="11" fillId="0" borderId="57" xfId="0" applyFont="1" applyBorder="1" applyAlignment="1">
      <alignment horizontal="center" vertical="center"/>
    </xf>
    <xf numFmtId="0" fontId="12" fillId="0" borderId="6" xfId="0" applyFont="1" applyBorder="1" applyAlignment="1"/>
    <xf numFmtId="4" fontId="12" fillId="0" borderId="104" xfId="0" applyNumberFormat="1" applyFont="1" applyBorder="1" applyAlignment="1">
      <alignment horizontal="center"/>
    </xf>
    <xf numFmtId="3" fontId="12" fillId="0" borderId="6" xfId="0" applyNumberFormat="1" applyFont="1" applyBorder="1" applyAlignment="1">
      <alignment horizontal="center"/>
    </xf>
    <xf numFmtId="0" fontId="16" fillId="4" borderId="106" xfId="0" applyFont="1" applyFill="1" applyBorder="1" applyAlignment="1">
      <alignment horizontal="center"/>
    </xf>
    <xf numFmtId="0" fontId="10" fillId="4" borderId="100" xfId="0" applyFont="1" applyFill="1" applyBorder="1" applyAlignment="1">
      <alignment horizontal="center" vertical="center"/>
    </xf>
    <xf numFmtId="4" fontId="11" fillId="0" borderId="104" xfId="0" applyNumberFormat="1" applyFont="1" applyBorder="1" applyAlignment="1">
      <alignment horizontal="center" vertical="center"/>
    </xf>
    <xf numFmtId="0" fontId="10" fillId="4" borderId="56" xfId="0" applyFont="1" applyFill="1" applyBorder="1" applyAlignment="1">
      <alignment horizontal="center" vertical="center"/>
    </xf>
    <xf numFmtId="0" fontId="2" fillId="0" borderId="88" xfId="0" applyFont="1" applyBorder="1"/>
    <xf numFmtId="0" fontId="11" fillId="2" borderId="0" xfId="0" applyFont="1" applyFill="1" applyAlignment="1">
      <alignment horizontal="center"/>
    </xf>
    <xf numFmtId="0" fontId="16" fillId="3" borderId="110" xfId="0" applyFont="1" applyFill="1" applyBorder="1" applyAlignment="1">
      <alignment horizontal="center"/>
    </xf>
    <xf numFmtId="0" fontId="16" fillId="4" borderId="43" xfId="0" applyFont="1" applyFill="1" applyBorder="1" applyAlignment="1">
      <alignment horizontal="center"/>
    </xf>
    <xf numFmtId="0" fontId="35" fillId="4" borderId="1" xfId="0" applyFont="1" applyFill="1" applyBorder="1" applyAlignment="1">
      <alignment horizontal="center"/>
    </xf>
    <xf numFmtId="0" fontId="11" fillId="2" borderId="0" xfId="0" applyFont="1" applyFill="1" applyAlignment="1">
      <alignment horizontal="center" vertical="center" wrapText="1"/>
    </xf>
    <xf numFmtId="0" fontId="16" fillId="4" borderId="45" xfId="0" applyFont="1" applyFill="1" applyBorder="1" applyAlignment="1">
      <alignment horizontal="center"/>
    </xf>
    <xf numFmtId="0" fontId="28" fillId="14" borderId="54" xfId="0" applyFont="1" applyFill="1" applyBorder="1" applyAlignment="1">
      <alignment horizontal="center" vertical="center" wrapText="1"/>
    </xf>
    <xf numFmtId="0" fontId="28" fillId="14" borderId="55" xfId="0" applyFont="1" applyFill="1" applyBorder="1" applyAlignment="1">
      <alignment horizontal="center" vertical="center" wrapText="1"/>
    </xf>
    <xf numFmtId="0" fontId="28" fillId="14" borderId="56" xfId="0" applyFont="1" applyFill="1" applyBorder="1" applyAlignment="1">
      <alignment horizontal="center" vertical="center" wrapText="1"/>
    </xf>
    <xf numFmtId="0" fontId="26" fillId="15" borderId="12" xfId="0" applyFont="1" applyFill="1" applyBorder="1" applyAlignment="1">
      <alignment horizontal="center" vertical="center" wrapText="1"/>
    </xf>
    <xf numFmtId="0" fontId="26" fillId="14" borderId="55" xfId="0" applyFont="1" applyFill="1" applyBorder="1" applyAlignment="1">
      <alignment horizontal="center" vertical="center" wrapText="1"/>
    </xf>
    <xf numFmtId="0" fontId="2" fillId="16" borderId="57" xfId="0" applyFont="1" applyFill="1" applyBorder="1"/>
    <xf numFmtId="0" fontId="2" fillId="16" borderId="6" xfId="0" applyFont="1" applyFill="1" applyBorder="1"/>
    <xf numFmtId="0" fontId="2" fillId="16" borderId="58" xfId="0" applyFont="1" applyFill="1" applyBorder="1"/>
    <xf numFmtId="0" fontId="2" fillId="16" borderId="59" xfId="0" applyFont="1" applyFill="1" applyBorder="1"/>
    <xf numFmtId="0" fontId="2" fillId="16" borderId="60" xfId="0" applyFont="1" applyFill="1" applyBorder="1"/>
    <xf numFmtId="0" fontId="26" fillId="15" borderId="61" xfId="0" applyFont="1" applyFill="1" applyBorder="1" applyAlignment="1">
      <alignment horizontal="center" vertical="center" wrapText="1"/>
    </xf>
    <xf numFmtId="0" fontId="2" fillId="16" borderId="62" xfId="0" applyFont="1" applyFill="1" applyBorder="1"/>
    <xf numFmtId="0" fontId="2" fillId="16" borderId="4" xfId="0" applyFont="1" applyFill="1" applyBorder="1"/>
    <xf numFmtId="0" fontId="28" fillId="14" borderId="61" xfId="0" applyFont="1" applyFill="1" applyBorder="1" applyAlignment="1">
      <alignment vertical="center" wrapText="1"/>
    </xf>
    <xf numFmtId="0" fontId="28" fillId="14" borderId="21" xfId="0" applyFont="1" applyFill="1" applyBorder="1" applyAlignment="1">
      <alignment vertical="center" wrapText="1"/>
    </xf>
    <xf numFmtId="0" fontId="2" fillId="16" borderId="63" xfId="0" applyFont="1" applyFill="1" applyBorder="1"/>
    <xf numFmtId="0" fontId="27" fillId="17" borderId="61" xfId="0" applyFont="1" applyFill="1" applyBorder="1" applyAlignment="1">
      <alignment vertical="center" wrapText="1"/>
    </xf>
    <xf numFmtId="0" fontId="27" fillId="14" borderId="21" xfId="0" applyFont="1" applyFill="1" applyBorder="1" applyAlignment="1">
      <alignment vertical="center" wrapText="1"/>
    </xf>
    <xf numFmtId="0" fontId="28" fillId="18" borderId="65" xfId="0" applyFont="1" applyFill="1" applyBorder="1" applyAlignment="1">
      <alignment horizontal="center" vertical="center" wrapText="1"/>
    </xf>
    <xf numFmtId="8" fontId="28" fillId="18" borderId="18" xfId="0" applyNumberFormat="1" applyFont="1" applyFill="1" applyBorder="1" applyAlignment="1">
      <alignment horizontal="right" vertical="center" wrapText="1"/>
    </xf>
    <xf numFmtId="0" fontId="2" fillId="19" borderId="62" xfId="0" applyFont="1" applyFill="1" applyBorder="1"/>
    <xf numFmtId="0" fontId="2" fillId="19" borderId="4" xfId="0" applyFont="1" applyFill="1" applyBorder="1"/>
    <xf numFmtId="0" fontId="28" fillId="18" borderId="61" xfId="0" applyFont="1" applyFill="1" applyBorder="1" applyAlignment="1">
      <alignment horizontal="center" vertical="center" wrapText="1"/>
    </xf>
    <xf numFmtId="8" fontId="28" fillId="18" borderId="21" xfId="0" applyNumberFormat="1" applyFont="1" applyFill="1" applyBorder="1" applyAlignment="1">
      <alignment horizontal="right" vertical="center" wrapText="1"/>
    </xf>
    <xf numFmtId="0" fontId="2" fillId="19" borderId="57" xfId="0" applyFont="1" applyFill="1" applyBorder="1"/>
    <xf numFmtId="0" fontId="2" fillId="19" borderId="6" xfId="0" applyFont="1" applyFill="1" applyBorder="1"/>
    <xf numFmtId="0" fontId="28" fillId="18" borderId="61" xfId="0" applyFont="1" applyFill="1" applyBorder="1" applyAlignment="1">
      <alignment horizontal="center" vertical="center"/>
    </xf>
    <xf numFmtId="164" fontId="28" fillId="18" borderId="21" xfId="0" applyNumberFormat="1" applyFont="1" applyFill="1" applyBorder="1" applyAlignment="1">
      <alignment horizontal="right" vertical="center"/>
    </xf>
    <xf numFmtId="0" fontId="28" fillId="20" borderId="71" xfId="0" applyFont="1" applyFill="1" applyBorder="1" applyAlignment="1">
      <alignment horizontal="center" vertical="center"/>
    </xf>
    <xf numFmtId="0" fontId="2" fillId="21" borderId="72" xfId="0" applyFont="1" applyFill="1" applyBorder="1"/>
    <xf numFmtId="0" fontId="2" fillId="21" borderId="73" xfId="0" applyFont="1" applyFill="1" applyBorder="1"/>
    <xf numFmtId="0" fontId="28" fillId="20" borderId="74" xfId="0" applyFont="1" applyFill="1" applyBorder="1" applyAlignment="1">
      <alignment horizontal="center" vertical="center"/>
    </xf>
    <xf numFmtId="0" fontId="28" fillId="20" borderId="72" xfId="0" applyFont="1" applyFill="1" applyBorder="1" applyAlignment="1">
      <alignment horizontal="center" vertical="center"/>
    </xf>
    <xf numFmtId="0" fontId="28" fillId="20" borderId="73" xfId="0" applyFont="1" applyFill="1" applyBorder="1" applyAlignment="1">
      <alignment horizontal="center" vertical="center"/>
    </xf>
    <xf numFmtId="8" fontId="28" fillId="20" borderId="75" xfId="0" applyNumberFormat="1" applyFont="1" applyFill="1" applyBorder="1" applyAlignment="1">
      <alignment vertical="center"/>
    </xf>
    <xf numFmtId="0" fontId="28" fillId="20" borderId="71" xfId="0" applyFont="1" applyFill="1" applyBorder="1" applyAlignment="1">
      <alignment horizontal="right" vertical="center"/>
    </xf>
    <xf numFmtId="3" fontId="28" fillId="20" borderId="76" xfId="0" applyNumberFormat="1" applyFont="1" applyFill="1" applyBorder="1" applyAlignment="1">
      <alignment horizontal="center" vertical="center"/>
    </xf>
    <xf numFmtId="0" fontId="29" fillId="20" borderId="71" xfId="0" applyFont="1" applyFill="1" applyBorder="1" applyAlignment="1">
      <alignment vertical="center"/>
    </xf>
    <xf numFmtId="0" fontId="29" fillId="20" borderId="72" xfId="0" applyFont="1" applyFill="1" applyBorder="1" applyAlignment="1">
      <alignment vertical="center"/>
    </xf>
    <xf numFmtId="0" fontId="29" fillId="20" borderId="76" xfId="0" applyFont="1" applyFill="1" applyBorder="1" applyAlignment="1">
      <alignment vertical="center"/>
    </xf>
    <xf numFmtId="164" fontId="33" fillId="20" borderId="77" xfId="0" applyNumberFormat="1" applyFont="1" applyFill="1" applyBorder="1" applyAlignment="1">
      <alignment vertical="center"/>
    </xf>
    <xf numFmtId="0" fontId="2" fillId="21" borderId="4" xfId="0" applyFont="1" applyFill="1" applyBorder="1"/>
    <xf numFmtId="0" fontId="2" fillId="21" borderId="6" xfId="0" applyFont="1" applyFill="1" applyBorder="1"/>
    <xf numFmtId="8" fontId="49" fillId="20" borderId="18" xfId="0" applyNumberFormat="1" applyFont="1" applyFill="1" applyBorder="1" applyAlignment="1">
      <alignment horizontal="right" vertical="center" wrapText="1"/>
    </xf>
    <xf numFmtId="8" fontId="49" fillId="20" borderId="21" xfId="0" applyNumberFormat="1" applyFont="1" applyFill="1" applyBorder="1" applyAlignment="1">
      <alignment horizontal="right" vertical="center" wrapText="1"/>
    </xf>
    <xf numFmtId="164" fontId="49" fillId="20" borderId="21" xfId="0" applyNumberFormat="1" applyFont="1" applyFill="1" applyBorder="1" applyAlignment="1">
      <alignment horizontal="right" vertical="center"/>
    </xf>
    <xf numFmtId="164" fontId="49" fillId="20" borderId="18" xfId="0" applyNumberFormat="1" applyFont="1" applyFill="1" applyBorder="1" applyAlignment="1">
      <alignment horizontal="right" vertical="center"/>
    </xf>
    <xf numFmtId="0" fontId="28" fillId="20" borderId="14" xfId="0" applyFont="1" applyFill="1" applyBorder="1" applyAlignment="1">
      <alignment horizontal="center" vertical="center" wrapText="1"/>
    </xf>
    <xf numFmtId="0" fontId="28" fillId="20" borderId="15" xfId="0" applyFont="1" applyFill="1" applyBorder="1" applyAlignment="1">
      <alignment horizontal="center" vertical="center" wrapText="1"/>
    </xf>
    <xf numFmtId="0" fontId="27" fillId="21" borderId="0" xfId="0" applyFont="1" applyFill="1" applyAlignment="1">
      <alignment vertical="center"/>
    </xf>
    <xf numFmtId="0" fontId="2" fillId="21" borderId="19" xfId="0" applyFont="1" applyFill="1" applyBorder="1"/>
    <xf numFmtId="0" fontId="2" fillId="21" borderId="63" xfId="0" applyFont="1" applyFill="1" applyBorder="1"/>
    <xf numFmtId="0" fontId="26" fillId="18" borderId="9" xfId="0" applyFont="1" applyFill="1" applyBorder="1" applyAlignment="1">
      <alignment horizontal="center" vertical="center" wrapText="1"/>
    </xf>
    <xf numFmtId="164" fontId="26" fillId="18" borderId="21" xfId="0" applyNumberFormat="1" applyFont="1" applyFill="1" applyBorder="1" applyAlignment="1">
      <alignment horizontal="right" vertical="center" wrapText="1"/>
    </xf>
    <xf numFmtId="0" fontId="26" fillId="18" borderId="21" xfId="0" applyFont="1" applyFill="1" applyBorder="1" applyAlignment="1">
      <alignment horizontal="center" vertical="center" wrapText="1"/>
    </xf>
    <xf numFmtId="164" fontId="26" fillId="18" borderId="35" xfId="0" applyNumberFormat="1" applyFont="1" applyFill="1" applyBorder="1" applyAlignment="1">
      <alignment horizontal="right" vertical="center" wrapText="1"/>
    </xf>
    <xf numFmtId="0" fontId="2" fillId="19" borderId="32" xfId="0" applyFont="1" applyFill="1" applyBorder="1"/>
    <xf numFmtId="0" fontId="26" fillId="18" borderId="21" xfId="0" applyFont="1" applyFill="1" applyBorder="1" applyAlignment="1">
      <alignment horizontal="right" vertical="center" wrapText="1"/>
    </xf>
    <xf numFmtId="0" fontId="2" fillId="19" borderId="5" xfId="0" applyFont="1" applyFill="1" applyBorder="1"/>
    <xf numFmtId="0" fontId="28" fillId="18" borderId="3" xfId="0" applyFont="1" applyFill="1" applyBorder="1" applyAlignment="1">
      <alignment horizontal="center" vertical="center" wrapText="1"/>
    </xf>
    <xf numFmtId="0" fontId="26" fillId="18" borderId="3" xfId="0" applyFont="1" applyFill="1" applyBorder="1" applyAlignment="1">
      <alignment horizontal="center" vertical="center" wrapText="1"/>
    </xf>
    <xf numFmtId="164" fontId="26" fillId="18" borderId="18" xfId="0" applyNumberFormat="1" applyFont="1" applyFill="1" applyBorder="1" applyAlignment="1">
      <alignment horizontal="right" vertical="center" wrapText="1"/>
    </xf>
    <xf numFmtId="0" fontId="26" fillId="18" borderId="18" xfId="0" applyFont="1" applyFill="1" applyBorder="1" applyAlignment="1">
      <alignment horizontal="center" vertical="center" wrapText="1"/>
    </xf>
    <xf numFmtId="164" fontId="26" fillId="18" borderId="37" xfId="0" applyNumberFormat="1" applyFont="1" applyFill="1" applyBorder="1" applyAlignment="1">
      <alignment horizontal="right" vertical="center" wrapText="1"/>
    </xf>
    <xf numFmtId="0" fontId="2" fillId="19" borderId="85" xfId="0" applyFont="1" applyFill="1" applyBorder="1"/>
    <xf numFmtId="0" fontId="2" fillId="19" borderId="87" xfId="0" applyFont="1" applyFill="1" applyBorder="1"/>
    <xf numFmtId="0" fontId="28" fillId="18" borderId="9" xfId="0" applyFont="1" applyFill="1" applyBorder="1" applyAlignment="1">
      <alignment horizontal="center" vertical="center" wrapText="1"/>
    </xf>
    <xf numFmtId="0" fontId="26" fillId="18" borderId="3" xfId="0" applyFont="1" applyFill="1" applyBorder="1" applyAlignment="1">
      <alignment horizontal="center" vertical="center"/>
    </xf>
    <xf numFmtId="0" fontId="26" fillId="20" borderId="43" xfId="0" applyFont="1" applyFill="1" applyBorder="1" applyAlignment="1">
      <alignment horizontal="center" vertical="center"/>
    </xf>
    <xf numFmtId="0" fontId="2" fillId="21" borderId="2" xfId="0" applyFont="1" applyFill="1" applyBorder="1"/>
    <xf numFmtId="0" fontId="2" fillId="21" borderId="3" xfId="0" applyFont="1" applyFill="1" applyBorder="1"/>
    <xf numFmtId="0" fontId="26" fillId="20" borderId="1" xfId="0" applyFont="1" applyFill="1" applyBorder="1" applyAlignment="1">
      <alignment horizontal="center" vertical="center"/>
    </xf>
    <xf numFmtId="0" fontId="26" fillId="20" borderId="2" xfId="0" applyFont="1" applyFill="1" applyBorder="1" applyAlignment="1">
      <alignment horizontal="center" vertical="center"/>
    </xf>
    <xf numFmtId="0" fontId="26" fillId="20" borderId="3" xfId="0" applyFont="1" applyFill="1" applyBorder="1" applyAlignment="1">
      <alignment horizontal="center" vertical="center"/>
    </xf>
    <xf numFmtId="164" fontId="26" fillId="20" borderId="21" xfId="0" applyNumberFormat="1" applyFont="1" applyFill="1" applyBorder="1" applyAlignment="1">
      <alignment horizontal="right" vertical="center"/>
    </xf>
    <xf numFmtId="10" fontId="26" fillId="20" borderId="21" xfId="0" applyNumberFormat="1" applyFont="1" applyFill="1" applyBorder="1" applyAlignment="1">
      <alignment horizontal="right" vertical="center"/>
    </xf>
    <xf numFmtId="164" fontId="26" fillId="20" borderId="21" xfId="0" applyNumberFormat="1" applyFont="1" applyFill="1" applyBorder="1" applyAlignment="1">
      <alignment horizontal="right" vertical="center" wrapText="1"/>
    </xf>
    <xf numFmtId="164" fontId="26" fillId="20" borderId="35" xfId="0" applyNumberFormat="1" applyFont="1" applyFill="1" applyBorder="1" applyAlignment="1">
      <alignment horizontal="right" vertical="center"/>
    </xf>
    <xf numFmtId="0" fontId="26" fillId="20" borderId="45" xfId="0" applyFont="1" applyFill="1" applyBorder="1" applyAlignment="1">
      <alignment horizontal="right" vertical="center"/>
    </xf>
    <xf numFmtId="0" fontId="2" fillId="21" borderId="46" xfId="0" applyFont="1" applyFill="1" applyBorder="1"/>
    <xf numFmtId="3" fontId="26" fillId="20" borderId="47" xfId="0" applyNumberFormat="1" applyFont="1" applyFill="1" applyBorder="1" applyAlignment="1">
      <alignment horizontal="center" vertical="center"/>
    </xf>
    <xf numFmtId="0" fontId="26" fillId="20" borderId="36" xfId="0" applyFont="1" applyFill="1" applyBorder="1" applyAlignment="1">
      <alignment horizontal="center" vertical="center"/>
    </xf>
    <xf numFmtId="0" fontId="26" fillId="20" borderId="46" xfId="0" applyFont="1" applyFill="1" applyBorder="1" applyAlignment="1">
      <alignment horizontal="center" vertical="center"/>
    </xf>
    <xf numFmtId="0" fontId="26" fillId="20" borderId="47" xfId="0" applyFont="1" applyFill="1" applyBorder="1" applyAlignment="1">
      <alignment horizontal="center" vertical="center"/>
    </xf>
    <xf numFmtId="164" fontId="26" fillId="20" borderId="23" xfId="0" applyNumberFormat="1" applyFont="1" applyFill="1" applyBorder="1" applyAlignment="1">
      <alignment horizontal="right" vertical="center"/>
    </xf>
    <xf numFmtId="164" fontId="26" fillId="20" borderId="48" xfId="0" applyNumberFormat="1" applyFont="1" applyFill="1" applyBorder="1" applyAlignment="1">
      <alignment horizontal="right" vertical="center"/>
    </xf>
    <xf numFmtId="164" fontId="49" fillId="20" borderId="18" xfId="0" applyNumberFormat="1" applyFont="1" applyFill="1" applyBorder="1" applyAlignment="1">
      <alignment horizontal="right" vertical="center" wrapText="1"/>
    </xf>
    <xf numFmtId="164" fontId="49" fillId="20" borderId="21" xfId="0" applyNumberFormat="1" applyFont="1" applyFill="1" applyBorder="1" applyAlignment="1">
      <alignment horizontal="right" vertical="center" wrapText="1"/>
    </xf>
    <xf numFmtId="0" fontId="27" fillId="0" borderId="19"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63" xfId="0" applyFont="1" applyBorder="1" applyAlignment="1">
      <alignment horizontal="center" vertical="center" wrapText="1"/>
    </xf>
    <xf numFmtId="0" fontId="30" fillId="0" borderId="79" xfId="0" applyFont="1" applyBorder="1" applyAlignment="1">
      <alignment horizontal="center" vertical="center" wrapText="1"/>
    </xf>
    <xf numFmtId="0" fontId="28" fillId="6" borderId="5" xfId="0" applyFont="1" applyFill="1" applyBorder="1" applyAlignment="1">
      <alignment horizontal="center" vertical="center" wrapText="1"/>
    </xf>
    <xf numFmtId="164" fontId="31" fillId="10" borderId="4" xfId="0" applyNumberFormat="1" applyFont="1" applyFill="1" applyBorder="1" applyAlignment="1">
      <alignment horizontal="center" vertical="center" wrapText="1"/>
    </xf>
    <xf numFmtId="164" fontId="26" fillId="6" borderId="4" xfId="0" applyNumberFormat="1" applyFont="1" applyFill="1" applyBorder="1" applyAlignment="1">
      <alignment horizontal="center" vertical="center" wrapText="1"/>
    </xf>
    <xf numFmtId="164" fontId="26" fillId="6" borderId="87" xfId="0" applyNumberFormat="1" applyFont="1" applyFill="1" applyBorder="1" applyAlignment="1">
      <alignment horizontal="center" vertical="center" wrapText="1"/>
    </xf>
    <xf numFmtId="0" fontId="28" fillId="20" borderId="119" xfId="0" applyFont="1" applyFill="1" applyBorder="1" applyAlignment="1">
      <alignment horizontal="center" vertical="center" wrapText="1"/>
    </xf>
    <xf numFmtId="0" fontId="26" fillId="22" borderId="119" xfId="0" applyFont="1" applyFill="1" applyBorder="1" applyAlignment="1">
      <alignment horizontal="center" vertical="center" wrapText="1"/>
    </xf>
    <xf numFmtId="0" fontId="2" fillId="21" borderId="119" xfId="0" applyFont="1" applyFill="1" applyBorder="1"/>
    <xf numFmtId="0" fontId="26" fillId="20" borderId="119" xfId="0" applyFont="1" applyFill="1" applyBorder="1" applyAlignment="1">
      <alignment horizontal="center" vertical="center" wrapText="1"/>
    </xf>
    <xf numFmtId="0" fontId="34" fillId="20" borderId="119" xfId="0" applyFont="1" applyFill="1" applyBorder="1" applyAlignment="1">
      <alignment horizontal="center" wrapText="1"/>
    </xf>
    <xf numFmtId="0" fontId="26" fillId="22" borderId="119" xfId="0" applyFont="1" applyFill="1" applyBorder="1" applyAlignment="1">
      <alignment horizontal="center" vertical="center" wrapText="1"/>
    </xf>
    <xf numFmtId="0" fontId="26" fillId="20" borderId="119" xfId="0" applyFont="1" applyFill="1" applyBorder="1" applyAlignment="1">
      <alignment horizontal="center" vertical="center" wrapText="1"/>
    </xf>
    <xf numFmtId="0" fontId="28" fillId="20" borderId="80" xfId="0" applyFont="1" applyFill="1" applyBorder="1" applyAlignment="1">
      <alignment horizontal="center" vertical="center" wrapText="1"/>
    </xf>
    <xf numFmtId="0" fontId="26" fillId="22" borderId="88" xfId="0" applyFont="1" applyFill="1" applyBorder="1" applyAlignment="1">
      <alignment horizontal="center" vertical="center" wrapText="1"/>
    </xf>
    <xf numFmtId="0" fontId="26" fillId="22" borderId="89" xfId="0" applyFont="1" applyFill="1" applyBorder="1" applyAlignment="1">
      <alignment horizontal="center" vertical="center" wrapText="1"/>
    </xf>
    <xf numFmtId="0" fontId="28" fillId="20" borderId="54" xfId="0" applyFont="1" applyFill="1" applyBorder="1" applyAlignment="1">
      <alignment horizontal="center" vertical="center" wrapText="1"/>
    </xf>
    <xf numFmtId="0" fontId="26" fillId="20" borderId="55" xfId="0" applyFont="1" applyFill="1" applyBorder="1" applyAlignment="1">
      <alignment horizontal="center" vertical="center" wrapText="1"/>
    </xf>
    <xf numFmtId="0" fontId="28" fillId="20" borderId="56" xfId="0" applyFont="1" applyFill="1" applyBorder="1" applyAlignment="1">
      <alignment horizontal="center" vertical="center" wrapText="1"/>
    </xf>
    <xf numFmtId="0" fontId="2" fillId="21" borderId="16" xfId="0" applyFont="1" applyFill="1" applyBorder="1"/>
    <xf numFmtId="0" fontId="2" fillId="21" borderId="85" xfId="0" applyFont="1" applyFill="1" applyBorder="1"/>
    <xf numFmtId="0" fontId="2" fillId="21" borderId="70" xfId="0" applyFont="1" applyFill="1" applyBorder="1"/>
    <xf numFmtId="0" fontId="2" fillId="21" borderId="79" xfId="0" applyFont="1" applyFill="1" applyBorder="1"/>
    <xf numFmtId="0" fontId="2" fillId="21" borderId="57" xfId="0" applyFont="1" applyFill="1" applyBorder="1"/>
    <xf numFmtId="0" fontId="2" fillId="21" borderId="58" xfId="0" applyFont="1" applyFill="1" applyBorder="1"/>
    <xf numFmtId="0" fontId="2" fillId="21" borderId="87" xfId="0" applyFont="1" applyFill="1" applyBorder="1"/>
    <xf numFmtId="0" fontId="26" fillId="22" borderId="90" xfId="0" applyFont="1" applyFill="1" applyBorder="1" applyAlignment="1">
      <alignment horizontal="center" vertical="center" wrapText="1"/>
    </xf>
    <xf numFmtId="0" fontId="26" fillId="22" borderId="81" xfId="0" applyFont="1" applyFill="1" applyBorder="1" applyAlignment="1">
      <alignment horizontal="center" vertical="center" wrapText="1"/>
    </xf>
    <xf numFmtId="0" fontId="2" fillId="21" borderId="62" xfId="0" applyFont="1" applyFill="1" applyBorder="1"/>
    <xf numFmtId="0" fontId="28" fillId="18" borderId="65" xfId="0" applyFont="1" applyFill="1" applyBorder="1" applyAlignment="1">
      <alignment horizontal="center" vertical="center"/>
    </xf>
    <xf numFmtId="8" fontId="26" fillId="18" borderId="18" xfId="0" applyNumberFormat="1" applyFont="1" applyFill="1" applyBorder="1" applyAlignment="1">
      <alignment horizontal="right" vertical="center" wrapText="1"/>
    </xf>
    <xf numFmtId="8" fontId="28" fillId="18" borderId="66" xfId="0" applyNumberFormat="1" applyFont="1" applyFill="1" applyBorder="1" applyAlignment="1">
      <alignment horizontal="right" vertical="center" wrapText="1"/>
    </xf>
    <xf numFmtId="0" fontId="2" fillId="19" borderId="63" xfId="0" applyFont="1" applyFill="1" applyBorder="1"/>
    <xf numFmtId="0" fontId="2" fillId="19" borderId="58" xfId="0" applyFont="1" applyFill="1" applyBorder="1"/>
    <xf numFmtId="164" fontId="28" fillId="18" borderId="64" xfId="0" applyNumberFormat="1" applyFont="1" applyFill="1" applyBorder="1" applyAlignment="1">
      <alignment horizontal="right" vertical="center"/>
    </xf>
    <xf numFmtId="0" fontId="28" fillId="20" borderId="93" xfId="0" applyFont="1" applyFill="1" applyBorder="1" applyAlignment="1">
      <alignment horizontal="center" vertical="center"/>
    </xf>
    <xf numFmtId="0" fontId="2" fillId="21" borderId="94" xfId="0" applyFont="1" applyFill="1" applyBorder="1"/>
    <xf numFmtId="0" fontId="2" fillId="21" borderId="95" xfId="0" applyFont="1" applyFill="1" applyBorder="1"/>
    <xf numFmtId="0" fontId="28" fillId="20" borderId="93" xfId="0" applyFont="1" applyFill="1" applyBorder="1" applyAlignment="1">
      <alignment horizontal="center" vertical="center"/>
    </xf>
    <xf numFmtId="0" fontId="28" fillId="20" borderId="94" xfId="0" applyFont="1" applyFill="1" applyBorder="1" applyAlignment="1">
      <alignment horizontal="center" vertical="center"/>
    </xf>
    <xf numFmtId="0" fontId="28" fillId="20" borderId="95" xfId="0" applyFont="1" applyFill="1" applyBorder="1" applyAlignment="1">
      <alignment horizontal="center" vertical="center"/>
    </xf>
    <xf numFmtId="8" fontId="28" fillId="20" borderId="96" xfId="0" applyNumberFormat="1" applyFont="1" applyFill="1" applyBorder="1" applyAlignment="1">
      <alignment horizontal="right" vertical="center"/>
    </xf>
    <xf numFmtId="0" fontId="28" fillId="20" borderId="71" xfId="0" applyFont="1" applyFill="1" applyBorder="1" applyAlignment="1">
      <alignment vertical="center"/>
    </xf>
    <xf numFmtId="0" fontId="28" fillId="20" borderId="72" xfId="0" applyFont="1" applyFill="1" applyBorder="1" applyAlignment="1">
      <alignment vertical="center"/>
    </xf>
    <xf numFmtId="0" fontId="28" fillId="20" borderId="76" xfId="0" applyFont="1" applyFill="1" applyBorder="1" applyAlignment="1">
      <alignment vertical="center"/>
    </xf>
    <xf numFmtId="164" fontId="28" fillId="20" borderId="77" xfId="0" applyNumberFormat="1" applyFont="1" applyFill="1" applyBorder="1" applyAlignment="1">
      <alignment vertical="center"/>
    </xf>
    <xf numFmtId="0" fontId="2" fillId="0" borderId="3" xfId="0" applyFont="1" applyBorder="1" applyAlignment="1"/>
    <xf numFmtId="0" fontId="20" fillId="0" borderId="1" xfId="0" applyFont="1" applyBorder="1" applyAlignment="1">
      <alignment horizontal="center" wrapText="1"/>
    </xf>
    <xf numFmtId="0" fontId="20" fillId="0" borderId="2" xfId="0" applyFont="1" applyBorder="1" applyAlignment="1">
      <alignment horizontal="center" wrapText="1"/>
    </xf>
    <xf numFmtId="10" fontId="14" fillId="0" borderId="21" xfId="0" applyNumberFormat="1" applyFont="1" applyBorder="1" applyAlignment="1">
      <alignment horizontal="center" vertical="center"/>
    </xf>
    <xf numFmtId="10" fontId="21" fillId="2" borderId="2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outlinePr summaryBelow="0" summaryRight="0"/>
    <pageSetUpPr fitToPage="1"/>
  </sheetPr>
  <dimension ref="A1:I13"/>
  <sheetViews>
    <sheetView showGridLines="0" tabSelected="1" workbookViewId="0">
      <selection activeCell="H3" sqref="H3"/>
    </sheetView>
  </sheetViews>
  <sheetFormatPr defaultColWidth="14.42578125" defaultRowHeight="15" customHeight="1"/>
  <cols>
    <col min="3" max="3" width="64.140625" customWidth="1"/>
    <col min="6" max="6" width="18.140625" customWidth="1"/>
    <col min="9" max="9" width="17.85546875" customWidth="1"/>
    <col min="10" max="10" width="3.28515625" customWidth="1"/>
  </cols>
  <sheetData>
    <row r="1" spans="1:9" ht="26.25">
      <c r="A1" s="433" t="s">
        <v>1093</v>
      </c>
      <c r="B1" s="434"/>
      <c r="C1" s="434"/>
      <c r="D1" s="434"/>
      <c r="E1" s="434"/>
      <c r="F1" s="434"/>
      <c r="G1" s="434"/>
      <c r="H1" s="434"/>
      <c r="I1" s="435"/>
    </row>
    <row r="2" spans="1:9" ht="15" customHeight="1">
      <c r="A2" s="1" t="s">
        <v>0</v>
      </c>
      <c r="B2" s="2" t="s">
        <v>1</v>
      </c>
      <c r="C2" s="2" t="s">
        <v>2</v>
      </c>
      <c r="D2" s="2" t="s">
        <v>3</v>
      </c>
      <c r="E2" s="2" t="s">
        <v>4</v>
      </c>
      <c r="F2" s="2" t="s">
        <v>5</v>
      </c>
      <c r="G2" s="2" t="s">
        <v>6</v>
      </c>
      <c r="H2" s="2" t="s">
        <v>7</v>
      </c>
      <c r="I2" s="2" t="s">
        <v>8</v>
      </c>
    </row>
    <row r="3" spans="1:9" ht="15" customHeight="1">
      <c r="A3" s="436">
        <v>1</v>
      </c>
      <c r="B3" s="3">
        <v>1</v>
      </c>
      <c r="C3" s="4" t="s">
        <v>9</v>
      </c>
      <c r="D3" s="5">
        <v>25194</v>
      </c>
      <c r="E3" s="5">
        <v>30</v>
      </c>
      <c r="F3" s="6">
        <f>'Resumo dos valores'!G56</f>
        <v>5</v>
      </c>
      <c r="G3" s="3">
        <v>0</v>
      </c>
      <c r="H3" s="7">
        <f>'Resumo dos valores'!H55</f>
        <v>0</v>
      </c>
      <c r="I3" s="7">
        <f>'Resumo dos valores'!I55</f>
        <v>0</v>
      </c>
    </row>
    <row r="4" spans="1:9" ht="15" customHeight="1">
      <c r="A4" s="437"/>
      <c r="B4" s="3">
        <v>2</v>
      </c>
      <c r="C4" s="4" t="s">
        <v>10</v>
      </c>
      <c r="D4" s="5">
        <v>25194</v>
      </c>
      <c r="E4" s="5">
        <v>30</v>
      </c>
      <c r="F4" s="6">
        <f>'Resumo dos valores'!G82</f>
        <v>18</v>
      </c>
      <c r="G4" s="8">
        <f>'Resumo dos valores'!G79</f>
        <v>0.23484019071163695</v>
      </c>
      <c r="H4" s="7">
        <f>'Resumo dos valores'!H81</f>
        <v>0</v>
      </c>
      <c r="I4" s="7">
        <f>'Resumo dos valores'!I81</f>
        <v>0</v>
      </c>
    </row>
    <row r="5" spans="1:9" ht="15" customHeight="1">
      <c r="A5" s="437"/>
      <c r="B5" s="3">
        <v>3</v>
      </c>
      <c r="C5" s="4" t="s">
        <v>11</v>
      </c>
      <c r="D5" s="5">
        <v>25194</v>
      </c>
      <c r="E5" s="5">
        <v>30</v>
      </c>
      <c r="F5" s="6">
        <f>'Resumo dos valores'!G108</f>
        <v>6</v>
      </c>
      <c r="G5" s="3">
        <v>0</v>
      </c>
      <c r="H5" s="7">
        <f>'Resumo dos valores'!H107</f>
        <v>0</v>
      </c>
      <c r="I5" s="7">
        <f>'Resumo dos valores'!I107</f>
        <v>0</v>
      </c>
    </row>
    <row r="6" spans="1:9" ht="15" customHeight="1">
      <c r="A6" s="437"/>
      <c r="B6" s="3">
        <v>4</v>
      </c>
      <c r="C6" s="4" t="s">
        <v>12</v>
      </c>
      <c r="D6" s="5">
        <v>25194</v>
      </c>
      <c r="E6" s="5">
        <v>30</v>
      </c>
      <c r="F6" s="6">
        <f>'Resumo dos valores'!G134</f>
        <v>6</v>
      </c>
      <c r="G6" s="3">
        <v>0</v>
      </c>
      <c r="H6" s="7">
        <f>'Resumo dos valores'!H133</f>
        <v>0</v>
      </c>
      <c r="I6" s="7">
        <f>'Resumo dos valores'!I133</f>
        <v>0</v>
      </c>
    </row>
    <row r="7" spans="1:9" ht="15" customHeight="1">
      <c r="A7" s="437"/>
      <c r="B7" s="3">
        <v>5</v>
      </c>
      <c r="C7" s="4" t="s">
        <v>13</v>
      </c>
      <c r="D7" s="5">
        <v>25194</v>
      </c>
      <c r="E7" s="5">
        <v>30</v>
      </c>
      <c r="F7" s="6">
        <f>'Resumo dos valores'!G160</f>
        <v>5</v>
      </c>
      <c r="G7" s="3">
        <v>0</v>
      </c>
      <c r="H7" s="7">
        <f>'Resumo dos valores'!H159</f>
        <v>0</v>
      </c>
      <c r="I7" s="7">
        <f>'Resumo dos valores'!I159</f>
        <v>0</v>
      </c>
    </row>
    <row r="8" spans="1:9" ht="15" customHeight="1">
      <c r="A8" s="438"/>
      <c r="B8" s="3">
        <v>6</v>
      </c>
      <c r="C8" s="4" t="s">
        <v>14</v>
      </c>
      <c r="D8" s="5">
        <v>25194</v>
      </c>
      <c r="E8" s="5">
        <v>30</v>
      </c>
      <c r="F8" s="6">
        <f>'Resumo dos valores'!G186</f>
        <v>8</v>
      </c>
      <c r="G8" s="3">
        <v>0</v>
      </c>
      <c r="H8" s="7">
        <f>'Resumo dos valores'!H185</f>
        <v>0</v>
      </c>
      <c r="I8" s="7">
        <f>'Resumo dos valores'!I185</f>
        <v>0</v>
      </c>
    </row>
    <row r="9" spans="1:9" ht="15" customHeight="1">
      <c r="A9" s="439" t="s">
        <v>15</v>
      </c>
      <c r="B9" s="427"/>
      <c r="C9" s="427"/>
      <c r="D9" s="427"/>
      <c r="E9" s="428"/>
      <c r="F9" s="440">
        <f t="shared" ref="F9:I9" si="0">SUM(F3:F8)</f>
        <v>48</v>
      </c>
      <c r="G9" s="441">
        <f t="shared" si="0"/>
        <v>0.23484019071163695</v>
      </c>
      <c r="H9" s="442">
        <f t="shared" si="0"/>
        <v>0</v>
      </c>
      <c r="I9" s="442">
        <f t="shared" si="0"/>
        <v>0</v>
      </c>
    </row>
    <row r="10" spans="1:9" ht="15" customHeight="1">
      <c r="A10" s="429"/>
      <c r="B10" s="430"/>
      <c r="C10" s="430"/>
      <c r="D10" s="430"/>
      <c r="E10" s="431"/>
      <c r="F10" s="438"/>
      <c r="G10" s="438"/>
      <c r="H10" s="438"/>
      <c r="I10" s="438"/>
    </row>
    <row r="11" spans="1:9" ht="15" customHeight="1">
      <c r="A11" s="9"/>
      <c r="B11" s="9"/>
      <c r="C11" s="9"/>
      <c r="D11" s="9"/>
      <c r="E11" s="9"/>
      <c r="F11" s="9"/>
      <c r="G11" s="9"/>
      <c r="H11" s="9"/>
      <c r="I11" s="10"/>
    </row>
    <row r="12" spans="1:9" ht="15" customHeight="1">
      <c r="A12" s="426" t="s">
        <v>16</v>
      </c>
      <c r="B12" s="427"/>
      <c r="C12" s="427"/>
      <c r="D12" s="427"/>
      <c r="E12" s="428"/>
      <c r="F12" s="432">
        <f>I9</f>
        <v>0</v>
      </c>
      <c r="G12" s="427"/>
      <c r="H12" s="427"/>
      <c r="I12" s="428"/>
    </row>
    <row r="13" spans="1:9" ht="15" customHeight="1">
      <c r="A13" s="429"/>
      <c r="B13" s="430"/>
      <c r="C13" s="430"/>
      <c r="D13" s="430"/>
      <c r="E13" s="431"/>
      <c r="F13" s="429"/>
      <c r="G13" s="430"/>
      <c r="H13" s="430"/>
      <c r="I13" s="431"/>
    </row>
  </sheetData>
  <mergeCells count="9">
    <mergeCell ref="A12:E13"/>
    <mergeCell ref="F12:I13"/>
    <mergeCell ref="A1:I1"/>
    <mergeCell ref="A3:A8"/>
    <mergeCell ref="A9:E10"/>
    <mergeCell ref="F9:F10"/>
    <mergeCell ref="G9:G10"/>
    <mergeCell ref="H9:H10"/>
    <mergeCell ref="I9:I10"/>
  </mergeCells>
  <printOptions horizontalCentered="1" gridLines="1"/>
  <pageMargins left="0.7" right="0.7" top="0.75" bottom="0.75" header="0" footer="0"/>
  <pageSetup paperSize="9" fitToHeight="0" pageOrder="overThenDown" orientation="portrait" cellComments="atEnd"/>
  <headerFooter>
    <oddHeader>&amp;CANEXO I - A - Quadro Resumo da Contratação (44h Segunda à Sexta)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72"/>
  <sheetViews>
    <sheetView showGridLines="0" workbookViewId="0">
      <pane xSplit="3" ySplit="4" topLeftCell="D44" activePane="bottomRight" state="frozen"/>
      <selection pane="topRight" activeCell="D1" sqref="D1"/>
      <selection pane="bottomLeft" activeCell="A5" sqref="A5"/>
      <selection pane="bottomRight" activeCell="L12" sqref="L12:L13"/>
    </sheetView>
  </sheetViews>
  <sheetFormatPr defaultColWidth="14.42578125" defaultRowHeight="15" customHeight="1"/>
  <cols>
    <col min="1" max="1" width="12.140625" customWidth="1"/>
    <col min="2" max="2" width="63.5703125" customWidth="1"/>
    <col min="3" max="3" width="12.140625" customWidth="1"/>
    <col min="4" max="5" width="15.5703125" customWidth="1"/>
    <col min="6" max="6" width="16" customWidth="1"/>
    <col min="7" max="7" width="15.5703125" customWidth="1"/>
    <col min="8" max="8" width="16" customWidth="1"/>
    <col min="9" max="9" width="15.5703125" customWidth="1"/>
    <col min="10" max="10" width="20.5703125" customWidth="1"/>
    <col min="11" max="12" width="13.42578125" customWidth="1"/>
    <col min="13" max="13" width="15.42578125" customWidth="1"/>
    <col min="14" max="14" width="3.28515625" customWidth="1"/>
  </cols>
  <sheetData>
    <row r="1" spans="1:14" ht="14.25" customHeight="1">
      <c r="A1" s="662" t="s">
        <v>285</v>
      </c>
      <c r="B1" s="663" t="s">
        <v>286</v>
      </c>
      <c r="C1" s="718" t="s">
        <v>287</v>
      </c>
      <c r="D1" s="719" t="s">
        <v>50</v>
      </c>
      <c r="E1" s="720" t="s">
        <v>52</v>
      </c>
      <c r="F1" s="720" t="s">
        <v>54</v>
      </c>
      <c r="G1" s="720" t="s">
        <v>55</v>
      </c>
      <c r="H1" s="720" t="s">
        <v>56</v>
      </c>
      <c r="I1" s="720" t="s">
        <v>57</v>
      </c>
      <c r="J1" s="721" t="s">
        <v>391</v>
      </c>
      <c r="K1" s="722" t="s">
        <v>392</v>
      </c>
      <c r="L1" s="722" t="s">
        <v>393</v>
      </c>
      <c r="M1" s="723" t="s">
        <v>394</v>
      </c>
      <c r="N1" s="241"/>
    </row>
    <row r="2" spans="1:14" ht="23.25" customHeight="1">
      <c r="A2" s="724"/>
      <c r="B2" s="657"/>
      <c r="C2" s="725"/>
      <c r="D2" s="726"/>
      <c r="E2" s="727"/>
      <c r="F2" s="727"/>
      <c r="G2" s="727"/>
      <c r="H2" s="727"/>
      <c r="I2" s="727"/>
      <c r="J2" s="728"/>
      <c r="K2" s="657"/>
      <c r="L2" s="657"/>
      <c r="M2" s="729"/>
      <c r="N2" s="241"/>
    </row>
    <row r="3" spans="1:14" ht="35.25" customHeight="1">
      <c r="A3" s="665"/>
      <c r="B3" s="656"/>
      <c r="C3" s="730"/>
      <c r="D3" s="731" t="s">
        <v>395</v>
      </c>
      <c r="E3" s="732" t="s">
        <v>395</v>
      </c>
      <c r="F3" s="732" t="s">
        <v>395</v>
      </c>
      <c r="G3" s="732" t="s">
        <v>395</v>
      </c>
      <c r="H3" s="732" t="s">
        <v>395</v>
      </c>
      <c r="I3" s="732" t="s">
        <v>395</v>
      </c>
      <c r="J3" s="733"/>
      <c r="K3" s="656"/>
      <c r="L3" s="656"/>
      <c r="M3" s="666"/>
      <c r="N3" s="241"/>
    </row>
    <row r="4" spans="1:14" ht="1.5" customHeight="1">
      <c r="A4" s="242"/>
      <c r="B4" s="192"/>
      <c r="C4" s="243"/>
      <c r="D4" s="244"/>
      <c r="E4" s="245"/>
      <c r="F4" s="245"/>
      <c r="G4" s="245"/>
      <c r="H4" s="245"/>
      <c r="I4" s="246"/>
      <c r="J4" s="215"/>
      <c r="K4" s="247"/>
      <c r="L4" s="247"/>
      <c r="M4" s="248"/>
      <c r="N4" s="241"/>
    </row>
    <row r="5" spans="1:14" ht="14.25" customHeight="1">
      <c r="A5" s="554">
        <v>1</v>
      </c>
      <c r="B5" s="529" t="s">
        <v>396</v>
      </c>
      <c r="C5" s="555" t="s">
        <v>302</v>
      </c>
      <c r="D5" s="556">
        <v>10</v>
      </c>
      <c r="E5" s="550">
        <v>10</v>
      </c>
      <c r="F5" s="552">
        <v>6</v>
      </c>
      <c r="G5" s="550">
        <v>6</v>
      </c>
      <c r="H5" s="552">
        <v>6</v>
      </c>
      <c r="I5" s="553">
        <v>6</v>
      </c>
      <c r="J5" s="734">
        <f>SUM(D5:I6)</f>
        <v>44</v>
      </c>
      <c r="K5" s="701"/>
      <c r="L5" s="735">
        <f>M5/12</f>
        <v>0</v>
      </c>
      <c r="M5" s="736">
        <f>J5*K5</f>
        <v>0</v>
      </c>
      <c r="N5" s="241"/>
    </row>
    <row r="6" spans="1:14" ht="14.25" customHeight="1">
      <c r="A6" s="447"/>
      <c r="B6" s="438"/>
      <c r="C6" s="548"/>
      <c r="D6" s="535"/>
      <c r="E6" s="542"/>
      <c r="F6" s="542"/>
      <c r="G6" s="542"/>
      <c r="H6" s="542"/>
      <c r="I6" s="542"/>
      <c r="J6" s="635"/>
      <c r="K6" s="656"/>
      <c r="L6" s="636"/>
      <c r="M6" s="737"/>
      <c r="N6" s="241"/>
    </row>
    <row r="7" spans="1:14" ht="14.25" customHeight="1">
      <c r="A7" s="554">
        <v>2</v>
      </c>
      <c r="B7" s="529" t="s">
        <v>397</v>
      </c>
      <c r="C7" s="555" t="s">
        <v>302</v>
      </c>
      <c r="D7" s="556">
        <v>5</v>
      </c>
      <c r="E7" s="550">
        <v>12</v>
      </c>
      <c r="F7" s="552">
        <v>6</v>
      </c>
      <c r="G7" s="550">
        <v>6</v>
      </c>
      <c r="H7" s="552">
        <v>8</v>
      </c>
      <c r="I7" s="553">
        <v>6</v>
      </c>
      <c r="J7" s="734">
        <f>SUM(D7:I9)</f>
        <v>43</v>
      </c>
      <c r="K7" s="701"/>
      <c r="L7" s="735">
        <f>M7/12</f>
        <v>0</v>
      </c>
      <c r="M7" s="736">
        <f>J7*K7</f>
        <v>0</v>
      </c>
      <c r="N7" s="241"/>
    </row>
    <row r="8" spans="1:14" ht="14.25" customHeight="1">
      <c r="A8" s="444"/>
      <c r="B8" s="437"/>
      <c r="C8" s="547"/>
      <c r="D8" s="534"/>
      <c r="E8" s="541"/>
      <c r="F8" s="541"/>
      <c r="G8" s="541"/>
      <c r="H8" s="541"/>
      <c r="I8" s="541"/>
      <c r="J8" s="639"/>
      <c r="K8" s="657"/>
      <c r="L8" s="640"/>
      <c r="M8" s="738"/>
      <c r="N8" s="241"/>
    </row>
    <row r="9" spans="1:14" ht="5.25" customHeight="1">
      <c r="A9" s="447"/>
      <c r="B9" s="438"/>
      <c r="C9" s="548"/>
      <c r="D9" s="535"/>
      <c r="E9" s="542"/>
      <c r="F9" s="542"/>
      <c r="G9" s="542"/>
      <c r="H9" s="542"/>
      <c r="I9" s="542"/>
      <c r="J9" s="635"/>
      <c r="K9" s="656"/>
      <c r="L9" s="636"/>
      <c r="M9" s="737"/>
      <c r="N9" s="241"/>
    </row>
    <row r="10" spans="1:14" ht="14.25" customHeight="1">
      <c r="A10" s="554">
        <v>3</v>
      </c>
      <c r="B10" s="529" t="s">
        <v>398</v>
      </c>
      <c r="C10" s="555" t="s">
        <v>302</v>
      </c>
      <c r="D10" s="556">
        <v>6</v>
      </c>
      <c r="E10" s="550">
        <v>10</v>
      </c>
      <c r="F10" s="552">
        <v>5</v>
      </c>
      <c r="G10" s="550">
        <v>6</v>
      </c>
      <c r="H10" s="552">
        <v>8</v>
      </c>
      <c r="I10" s="553">
        <v>6</v>
      </c>
      <c r="J10" s="734">
        <f>SUM(D10:I11)</f>
        <v>41</v>
      </c>
      <c r="K10" s="701"/>
      <c r="L10" s="735">
        <f>M10/12</f>
        <v>0</v>
      </c>
      <c r="M10" s="736">
        <f>J10*K10</f>
        <v>0</v>
      </c>
      <c r="N10" s="241"/>
    </row>
    <row r="11" spans="1:14" ht="6.75" customHeight="1">
      <c r="A11" s="447"/>
      <c r="B11" s="438"/>
      <c r="C11" s="548"/>
      <c r="D11" s="535"/>
      <c r="E11" s="542"/>
      <c r="F11" s="542"/>
      <c r="G11" s="542"/>
      <c r="H11" s="542"/>
      <c r="I11" s="542"/>
      <c r="J11" s="635"/>
      <c r="K11" s="656"/>
      <c r="L11" s="636"/>
      <c r="M11" s="737"/>
      <c r="N11" s="241"/>
    </row>
    <row r="12" spans="1:14" ht="14.25" customHeight="1">
      <c r="A12" s="554">
        <v>4</v>
      </c>
      <c r="B12" s="529" t="s">
        <v>399</v>
      </c>
      <c r="C12" s="555" t="s">
        <v>302</v>
      </c>
      <c r="D12" s="556">
        <v>6</v>
      </c>
      <c r="E12" s="550">
        <v>10</v>
      </c>
      <c r="F12" s="552">
        <v>6</v>
      </c>
      <c r="G12" s="550">
        <v>6</v>
      </c>
      <c r="H12" s="552">
        <v>8</v>
      </c>
      <c r="I12" s="553">
        <v>6</v>
      </c>
      <c r="J12" s="734">
        <f>SUM(D12:I14)</f>
        <v>42</v>
      </c>
      <c r="K12" s="701"/>
      <c r="L12" s="735">
        <f>M12/12</f>
        <v>0</v>
      </c>
      <c r="M12" s="736">
        <f>J12*K12</f>
        <v>0</v>
      </c>
      <c r="N12" s="241"/>
    </row>
    <row r="13" spans="1:14" ht="9" customHeight="1">
      <c r="A13" s="444"/>
      <c r="B13" s="437"/>
      <c r="C13" s="547"/>
      <c r="D13" s="534"/>
      <c r="E13" s="541"/>
      <c r="F13" s="541"/>
      <c r="G13" s="541"/>
      <c r="H13" s="541"/>
      <c r="I13" s="541"/>
      <c r="J13" s="639"/>
      <c r="K13" s="657"/>
      <c r="L13" s="636"/>
      <c r="M13" s="738"/>
      <c r="N13" s="241"/>
    </row>
    <row r="14" spans="1:14" ht="14.25" hidden="1" customHeight="1">
      <c r="A14" s="447"/>
      <c r="B14" s="438"/>
      <c r="C14" s="548"/>
      <c r="D14" s="535"/>
      <c r="E14" s="542"/>
      <c r="F14" s="542"/>
      <c r="G14" s="542"/>
      <c r="H14" s="542"/>
      <c r="I14" s="542"/>
      <c r="J14" s="635"/>
      <c r="K14" s="656"/>
      <c r="L14" s="735">
        <f>M15/12</f>
        <v>0</v>
      </c>
      <c r="M14" s="737"/>
      <c r="N14" s="241"/>
    </row>
    <row r="15" spans="1:14" ht="14.25" customHeight="1">
      <c r="A15" s="554">
        <v>5</v>
      </c>
      <c r="B15" s="529" t="s">
        <v>400</v>
      </c>
      <c r="C15" s="555" t="s">
        <v>302</v>
      </c>
      <c r="D15" s="556">
        <v>8</v>
      </c>
      <c r="E15" s="550">
        <v>48</v>
      </c>
      <c r="F15" s="552">
        <v>16</v>
      </c>
      <c r="G15" s="550">
        <v>40</v>
      </c>
      <c r="H15" s="552">
        <v>14</v>
      </c>
      <c r="I15" s="553">
        <v>24</v>
      </c>
      <c r="J15" s="734">
        <f>SUM(D15:I17)</f>
        <v>150</v>
      </c>
      <c r="K15" s="701"/>
      <c r="L15" s="640"/>
      <c r="M15" s="736">
        <f>J15*K15</f>
        <v>0</v>
      </c>
      <c r="N15" s="241"/>
    </row>
    <row r="16" spans="1:14" ht="7.5" customHeight="1">
      <c r="A16" s="444"/>
      <c r="B16" s="437"/>
      <c r="C16" s="547"/>
      <c r="D16" s="534"/>
      <c r="E16" s="541"/>
      <c r="F16" s="541"/>
      <c r="G16" s="541"/>
      <c r="H16" s="541"/>
      <c r="I16" s="541"/>
      <c r="J16" s="639"/>
      <c r="K16" s="657"/>
      <c r="L16" s="640"/>
      <c r="M16" s="738"/>
      <c r="N16" s="241"/>
    </row>
    <row r="17" spans="1:14" ht="14.25" hidden="1" customHeight="1">
      <c r="A17" s="447"/>
      <c r="B17" s="438"/>
      <c r="C17" s="548"/>
      <c r="D17" s="535"/>
      <c r="E17" s="542"/>
      <c r="F17" s="542"/>
      <c r="G17" s="542"/>
      <c r="H17" s="542"/>
      <c r="I17" s="542"/>
      <c r="J17" s="635"/>
      <c r="K17" s="656"/>
      <c r="L17" s="636"/>
      <c r="M17" s="737"/>
      <c r="N17" s="241"/>
    </row>
    <row r="18" spans="1:14" ht="14.25" customHeight="1">
      <c r="A18" s="554">
        <v>6</v>
      </c>
      <c r="B18" s="529" t="s">
        <v>401</v>
      </c>
      <c r="C18" s="555" t="s">
        <v>302</v>
      </c>
      <c r="D18" s="556">
        <v>3</v>
      </c>
      <c r="E18" s="550">
        <v>12</v>
      </c>
      <c r="F18" s="552">
        <v>12</v>
      </c>
      <c r="G18" s="550">
        <v>12</v>
      </c>
      <c r="H18" s="552">
        <v>6</v>
      </c>
      <c r="I18" s="553">
        <v>6</v>
      </c>
      <c r="J18" s="734">
        <f>SUM(D18:I19)</f>
        <v>51</v>
      </c>
      <c r="K18" s="701"/>
      <c r="L18" s="735">
        <f>M18/12</f>
        <v>0</v>
      </c>
      <c r="M18" s="736">
        <f>J18*K18</f>
        <v>0</v>
      </c>
      <c r="N18" s="241"/>
    </row>
    <row r="19" spans="1:14" ht="6" customHeight="1">
      <c r="A19" s="447"/>
      <c r="B19" s="438"/>
      <c r="C19" s="548"/>
      <c r="D19" s="535"/>
      <c r="E19" s="542"/>
      <c r="F19" s="542"/>
      <c r="G19" s="542"/>
      <c r="H19" s="542"/>
      <c r="I19" s="542"/>
      <c r="J19" s="635"/>
      <c r="K19" s="656"/>
      <c r="L19" s="636"/>
      <c r="M19" s="737"/>
      <c r="N19" s="241"/>
    </row>
    <row r="20" spans="1:14" ht="14.25" customHeight="1">
      <c r="A20" s="554">
        <v>7</v>
      </c>
      <c r="B20" s="529" t="s">
        <v>402</v>
      </c>
      <c r="C20" s="555" t="s">
        <v>302</v>
      </c>
      <c r="D20" s="556">
        <v>10</v>
      </c>
      <c r="E20" s="550">
        <v>12</v>
      </c>
      <c r="F20" s="552">
        <v>10</v>
      </c>
      <c r="G20" s="550">
        <v>6</v>
      </c>
      <c r="H20" s="552">
        <v>8</v>
      </c>
      <c r="I20" s="553">
        <v>12</v>
      </c>
      <c r="J20" s="734">
        <f>SUM(D20:I21)</f>
        <v>58</v>
      </c>
      <c r="K20" s="701"/>
      <c r="L20" s="735">
        <f>M20/12</f>
        <v>0</v>
      </c>
      <c r="M20" s="736">
        <f>J20*K20</f>
        <v>0</v>
      </c>
      <c r="N20" s="241"/>
    </row>
    <row r="21" spans="1:14" ht="6.75" customHeight="1">
      <c r="A21" s="447"/>
      <c r="B21" s="438"/>
      <c r="C21" s="548"/>
      <c r="D21" s="535"/>
      <c r="E21" s="542"/>
      <c r="F21" s="542"/>
      <c r="G21" s="542"/>
      <c r="H21" s="542"/>
      <c r="I21" s="542"/>
      <c r="J21" s="635"/>
      <c r="K21" s="656"/>
      <c r="L21" s="636"/>
      <c r="M21" s="737"/>
      <c r="N21" s="241"/>
    </row>
    <row r="22" spans="1:14" ht="14.25" customHeight="1">
      <c r="A22" s="554">
        <v>8</v>
      </c>
      <c r="B22" s="529" t="s">
        <v>403</v>
      </c>
      <c r="C22" s="555" t="s">
        <v>302</v>
      </c>
      <c r="D22" s="556">
        <v>6</v>
      </c>
      <c r="E22" s="550">
        <v>12</v>
      </c>
      <c r="F22" s="552">
        <v>12</v>
      </c>
      <c r="G22" s="550">
        <v>12</v>
      </c>
      <c r="H22" s="552">
        <v>10</v>
      </c>
      <c r="I22" s="553">
        <v>12</v>
      </c>
      <c r="J22" s="734">
        <f>SUM(D22:I23)</f>
        <v>64</v>
      </c>
      <c r="K22" s="701"/>
      <c r="L22" s="735">
        <f>M22/12</f>
        <v>0</v>
      </c>
      <c r="M22" s="736">
        <f>J22*K22</f>
        <v>0</v>
      </c>
      <c r="N22" s="241"/>
    </row>
    <row r="23" spans="1:14" ht="6.75" customHeight="1">
      <c r="A23" s="447"/>
      <c r="B23" s="438"/>
      <c r="C23" s="548"/>
      <c r="D23" s="535"/>
      <c r="E23" s="542"/>
      <c r="F23" s="542"/>
      <c r="G23" s="542"/>
      <c r="H23" s="542"/>
      <c r="I23" s="542"/>
      <c r="J23" s="635"/>
      <c r="K23" s="656"/>
      <c r="L23" s="636"/>
      <c r="M23" s="737"/>
      <c r="N23" s="241"/>
    </row>
    <row r="24" spans="1:14" ht="14.25" customHeight="1">
      <c r="A24" s="554">
        <v>9</v>
      </c>
      <c r="B24" s="529" t="s">
        <v>404</v>
      </c>
      <c r="C24" s="555" t="s">
        <v>302</v>
      </c>
      <c r="D24" s="556">
        <v>2</v>
      </c>
      <c r="E24" s="550">
        <v>24</v>
      </c>
      <c r="F24" s="552">
        <v>12</v>
      </c>
      <c r="G24" s="550">
        <v>24</v>
      </c>
      <c r="H24" s="552">
        <v>6</v>
      </c>
      <c r="I24" s="553">
        <v>24</v>
      </c>
      <c r="J24" s="734">
        <f>SUM(D24:I25)</f>
        <v>92</v>
      </c>
      <c r="K24" s="701"/>
      <c r="L24" s="735">
        <f>M24/12</f>
        <v>0</v>
      </c>
      <c r="M24" s="736">
        <f>J24*K24</f>
        <v>0</v>
      </c>
      <c r="N24" s="241"/>
    </row>
    <row r="25" spans="1:14" ht="9" customHeight="1">
      <c r="A25" s="447"/>
      <c r="B25" s="438"/>
      <c r="C25" s="548"/>
      <c r="D25" s="535"/>
      <c r="E25" s="542"/>
      <c r="F25" s="542"/>
      <c r="G25" s="542"/>
      <c r="H25" s="542"/>
      <c r="I25" s="542"/>
      <c r="J25" s="635"/>
      <c r="K25" s="656"/>
      <c r="L25" s="636"/>
      <c r="M25" s="737"/>
      <c r="N25" s="241"/>
    </row>
    <row r="26" spans="1:14" ht="14.25" customHeight="1">
      <c r="A26" s="554">
        <v>10</v>
      </c>
      <c r="B26" s="529" t="s">
        <v>405</v>
      </c>
      <c r="C26" s="555" t="s">
        <v>302</v>
      </c>
      <c r="D26" s="556">
        <v>5</v>
      </c>
      <c r="E26" s="550">
        <v>24</v>
      </c>
      <c r="F26" s="552">
        <v>12</v>
      </c>
      <c r="G26" s="550">
        <v>12</v>
      </c>
      <c r="H26" s="552">
        <v>10</v>
      </c>
      <c r="I26" s="553">
        <v>6</v>
      </c>
      <c r="J26" s="734">
        <f>SUM(D26:I27)</f>
        <v>69</v>
      </c>
      <c r="K26" s="701"/>
      <c r="L26" s="735">
        <f>M26/12</f>
        <v>0</v>
      </c>
      <c r="M26" s="736">
        <f>J26*K26</f>
        <v>0</v>
      </c>
      <c r="N26" s="241"/>
    </row>
    <row r="27" spans="1:14" ht="4.5" customHeight="1">
      <c r="A27" s="447"/>
      <c r="B27" s="438"/>
      <c r="C27" s="548"/>
      <c r="D27" s="535"/>
      <c r="E27" s="542"/>
      <c r="F27" s="542"/>
      <c r="G27" s="542"/>
      <c r="H27" s="542"/>
      <c r="I27" s="542"/>
      <c r="J27" s="635"/>
      <c r="K27" s="656"/>
      <c r="L27" s="636"/>
      <c r="M27" s="737"/>
      <c r="N27" s="241"/>
    </row>
    <row r="28" spans="1:14" ht="14.25" customHeight="1">
      <c r="A28" s="554">
        <v>11</v>
      </c>
      <c r="B28" s="529" t="s">
        <v>406</v>
      </c>
      <c r="C28" s="555" t="s">
        <v>302</v>
      </c>
      <c r="D28" s="556">
        <v>5</v>
      </c>
      <c r="E28" s="550">
        <v>24</v>
      </c>
      <c r="F28" s="552">
        <v>15</v>
      </c>
      <c r="G28" s="550">
        <v>12</v>
      </c>
      <c r="H28" s="552">
        <v>10</v>
      </c>
      <c r="I28" s="553">
        <v>24</v>
      </c>
      <c r="J28" s="734">
        <f>SUM(D28:I29)</f>
        <v>90</v>
      </c>
      <c r="K28" s="701"/>
      <c r="L28" s="735">
        <f>M28/12</f>
        <v>0</v>
      </c>
      <c r="M28" s="736">
        <f>J28*K28</f>
        <v>0</v>
      </c>
      <c r="N28" s="241"/>
    </row>
    <row r="29" spans="1:14" ht="4.5" customHeight="1">
      <c r="A29" s="447"/>
      <c r="B29" s="438"/>
      <c r="C29" s="548"/>
      <c r="D29" s="535"/>
      <c r="E29" s="542"/>
      <c r="F29" s="542"/>
      <c r="G29" s="542"/>
      <c r="H29" s="542"/>
      <c r="I29" s="542"/>
      <c r="J29" s="635"/>
      <c r="K29" s="656"/>
      <c r="L29" s="636"/>
      <c r="M29" s="737"/>
      <c r="N29" s="241"/>
    </row>
    <row r="30" spans="1:14" ht="14.25" customHeight="1">
      <c r="A30" s="554">
        <v>12</v>
      </c>
      <c r="B30" s="529" t="s">
        <v>407</v>
      </c>
      <c r="C30" s="555" t="s">
        <v>302</v>
      </c>
      <c r="D30" s="556">
        <v>5</v>
      </c>
      <c r="E30" s="550">
        <v>24</v>
      </c>
      <c r="F30" s="552">
        <v>10</v>
      </c>
      <c r="G30" s="550">
        <v>12</v>
      </c>
      <c r="H30" s="552">
        <v>10</v>
      </c>
      <c r="I30" s="553">
        <v>6</v>
      </c>
      <c r="J30" s="734">
        <f>SUM(D30:I31)</f>
        <v>67</v>
      </c>
      <c r="K30" s="701"/>
      <c r="L30" s="735">
        <f>M30/12</f>
        <v>0</v>
      </c>
      <c r="M30" s="736">
        <f>J30*K30</f>
        <v>0</v>
      </c>
      <c r="N30" s="241"/>
    </row>
    <row r="31" spans="1:14" ht="4.5" customHeight="1">
      <c r="A31" s="447"/>
      <c r="B31" s="438"/>
      <c r="C31" s="548"/>
      <c r="D31" s="535"/>
      <c r="E31" s="542"/>
      <c r="F31" s="542"/>
      <c r="G31" s="542"/>
      <c r="H31" s="542"/>
      <c r="I31" s="542"/>
      <c r="J31" s="635"/>
      <c r="K31" s="656"/>
      <c r="L31" s="636"/>
      <c r="M31" s="737"/>
      <c r="N31" s="241"/>
    </row>
    <row r="32" spans="1:14" ht="14.25" customHeight="1">
      <c r="A32" s="554">
        <v>13</v>
      </c>
      <c r="B32" s="529" t="s">
        <v>408</v>
      </c>
      <c r="C32" s="555" t="s">
        <v>302</v>
      </c>
      <c r="D32" s="556">
        <v>20</v>
      </c>
      <c r="E32" s="550">
        <v>24</v>
      </c>
      <c r="F32" s="552">
        <v>24</v>
      </c>
      <c r="G32" s="550">
        <v>24</v>
      </c>
      <c r="H32" s="552">
        <v>25</v>
      </c>
      <c r="I32" s="553">
        <v>24</v>
      </c>
      <c r="J32" s="734">
        <f>SUM(D32:I33)</f>
        <v>141</v>
      </c>
      <c r="K32" s="701"/>
      <c r="L32" s="735">
        <f>M32/12</f>
        <v>0</v>
      </c>
      <c r="M32" s="736">
        <f>J32*K32</f>
        <v>0</v>
      </c>
      <c r="N32" s="241"/>
    </row>
    <row r="33" spans="1:14" ht="8.25" customHeight="1">
      <c r="A33" s="447"/>
      <c r="B33" s="438"/>
      <c r="C33" s="548"/>
      <c r="D33" s="535"/>
      <c r="E33" s="542"/>
      <c r="F33" s="542"/>
      <c r="G33" s="542"/>
      <c r="H33" s="542"/>
      <c r="I33" s="542"/>
      <c r="J33" s="635"/>
      <c r="K33" s="656"/>
      <c r="L33" s="636"/>
      <c r="M33" s="737"/>
      <c r="N33" s="241"/>
    </row>
    <row r="34" spans="1:14" ht="14.25" customHeight="1">
      <c r="A34" s="554">
        <v>14</v>
      </c>
      <c r="B34" s="529" t="s">
        <v>409</v>
      </c>
      <c r="C34" s="555" t="s">
        <v>302</v>
      </c>
      <c r="D34" s="556">
        <v>10</v>
      </c>
      <c r="E34" s="550">
        <v>24</v>
      </c>
      <c r="F34" s="552">
        <v>24</v>
      </c>
      <c r="G34" s="550">
        <v>24</v>
      </c>
      <c r="H34" s="552">
        <v>25</v>
      </c>
      <c r="I34" s="553">
        <v>24</v>
      </c>
      <c r="J34" s="734">
        <f>SUM(D34:I35)</f>
        <v>131</v>
      </c>
      <c r="K34" s="701"/>
      <c r="L34" s="735">
        <f>M34/12</f>
        <v>0</v>
      </c>
      <c r="M34" s="736">
        <f>J34*K34</f>
        <v>0</v>
      </c>
      <c r="N34" s="241"/>
    </row>
    <row r="35" spans="1:14" ht="6" customHeight="1">
      <c r="A35" s="447"/>
      <c r="B35" s="438"/>
      <c r="C35" s="548"/>
      <c r="D35" s="535"/>
      <c r="E35" s="542"/>
      <c r="F35" s="542"/>
      <c r="G35" s="542"/>
      <c r="H35" s="542"/>
      <c r="I35" s="542"/>
      <c r="J35" s="635"/>
      <c r="K35" s="656"/>
      <c r="L35" s="636"/>
      <c r="M35" s="737"/>
      <c r="N35" s="241"/>
    </row>
    <row r="36" spans="1:14" ht="14.25" customHeight="1">
      <c r="A36" s="554">
        <v>15</v>
      </c>
      <c r="B36" s="529" t="s">
        <v>410</v>
      </c>
      <c r="C36" s="555" t="s">
        <v>302</v>
      </c>
      <c r="D36" s="556">
        <v>2</v>
      </c>
      <c r="E36" s="550">
        <v>8</v>
      </c>
      <c r="F36" s="552">
        <v>2</v>
      </c>
      <c r="G36" s="550">
        <v>2</v>
      </c>
      <c r="H36" s="552">
        <v>5</v>
      </c>
      <c r="I36" s="553">
        <v>1</v>
      </c>
      <c r="J36" s="734">
        <f>SUM(D36:I39)</f>
        <v>20</v>
      </c>
      <c r="K36" s="701"/>
      <c r="L36" s="735">
        <f>M36/12</f>
        <v>0</v>
      </c>
      <c r="M36" s="736">
        <f>J36*K36</f>
        <v>0</v>
      </c>
      <c r="N36" s="241"/>
    </row>
    <row r="37" spans="1:14" ht="11.25" customHeight="1">
      <c r="A37" s="444"/>
      <c r="B37" s="437"/>
      <c r="C37" s="547"/>
      <c r="D37" s="534"/>
      <c r="E37" s="541"/>
      <c r="F37" s="541"/>
      <c r="G37" s="541"/>
      <c r="H37" s="541"/>
      <c r="I37" s="541"/>
      <c r="J37" s="639"/>
      <c r="K37" s="657"/>
      <c r="L37" s="636"/>
      <c r="M37" s="738"/>
      <c r="N37" s="241"/>
    </row>
    <row r="38" spans="1:14" ht="0.75" hidden="1" customHeight="1">
      <c r="A38" s="444"/>
      <c r="B38" s="437"/>
      <c r="C38" s="547"/>
      <c r="D38" s="534"/>
      <c r="E38" s="541"/>
      <c r="F38" s="541"/>
      <c r="G38" s="541"/>
      <c r="H38" s="541"/>
      <c r="I38" s="541"/>
      <c r="J38" s="639"/>
      <c r="K38" s="657"/>
      <c r="L38" s="735">
        <f>M38/12</f>
        <v>0</v>
      </c>
      <c r="M38" s="738"/>
      <c r="N38" s="241"/>
    </row>
    <row r="39" spans="1:14" ht="14.25" hidden="1" customHeight="1">
      <c r="A39" s="447"/>
      <c r="B39" s="438"/>
      <c r="C39" s="548"/>
      <c r="D39" s="535"/>
      <c r="E39" s="542"/>
      <c r="F39" s="542"/>
      <c r="G39" s="542"/>
      <c r="H39" s="542"/>
      <c r="I39" s="542"/>
      <c r="J39" s="635"/>
      <c r="K39" s="656"/>
      <c r="L39" s="636"/>
      <c r="M39" s="737"/>
      <c r="N39" s="241"/>
    </row>
    <row r="40" spans="1:14" ht="14.25" customHeight="1">
      <c r="A40" s="554">
        <v>16</v>
      </c>
      <c r="B40" s="529" t="s">
        <v>411</v>
      </c>
      <c r="C40" s="555" t="s">
        <v>302</v>
      </c>
      <c r="D40" s="556">
        <v>10</v>
      </c>
      <c r="E40" s="550">
        <v>48</v>
      </c>
      <c r="F40" s="552">
        <v>24</v>
      </c>
      <c r="G40" s="550">
        <v>24</v>
      </c>
      <c r="H40" s="552">
        <v>12</v>
      </c>
      <c r="I40" s="553">
        <v>24</v>
      </c>
      <c r="J40" s="734">
        <f>SUM(D40:I43)</f>
        <v>142</v>
      </c>
      <c r="K40" s="701"/>
      <c r="L40" s="735">
        <f>M40/12</f>
        <v>0</v>
      </c>
      <c r="M40" s="736">
        <f>J40*K40</f>
        <v>0</v>
      </c>
      <c r="N40" s="241"/>
    </row>
    <row r="41" spans="1:14" ht="8.25" customHeight="1">
      <c r="A41" s="444"/>
      <c r="B41" s="437"/>
      <c r="C41" s="547"/>
      <c r="D41" s="534"/>
      <c r="E41" s="541"/>
      <c r="F41" s="541"/>
      <c r="G41" s="541"/>
      <c r="H41" s="541"/>
      <c r="I41" s="541"/>
      <c r="J41" s="639"/>
      <c r="K41" s="657"/>
      <c r="L41" s="636"/>
      <c r="M41" s="738"/>
      <c r="N41" s="241"/>
    </row>
    <row r="42" spans="1:14" ht="14.25" hidden="1" customHeight="1">
      <c r="A42" s="444"/>
      <c r="B42" s="437"/>
      <c r="C42" s="547"/>
      <c r="D42" s="534"/>
      <c r="E42" s="541"/>
      <c r="F42" s="541"/>
      <c r="G42" s="541"/>
      <c r="H42" s="541"/>
      <c r="I42" s="541"/>
      <c r="J42" s="639"/>
      <c r="K42" s="657"/>
      <c r="L42" s="735">
        <f>M42/12</f>
        <v>0</v>
      </c>
      <c r="M42" s="738"/>
      <c r="N42" s="241"/>
    </row>
    <row r="43" spans="1:14" ht="14.25" hidden="1" customHeight="1">
      <c r="A43" s="447"/>
      <c r="B43" s="438"/>
      <c r="C43" s="548"/>
      <c r="D43" s="535"/>
      <c r="E43" s="542"/>
      <c r="F43" s="542"/>
      <c r="G43" s="542"/>
      <c r="H43" s="542"/>
      <c r="I43" s="542"/>
      <c r="J43" s="635"/>
      <c r="K43" s="656"/>
      <c r="L43" s="636"/>
      <c r="M43" s="737"/>
      <c r="N43" s="241"/>
    </row>
    <row r="44" spans="1:14" ht="14.25" customHeight="1">
      <c r="A44" s="554">
        <v>17</v>
      </c>
      <c r="B44" s="529" t="s">
        <v>412</v>
      </c>
      <c r="C44" s="555" t="s">
        <v>302</v>
      </c>
      <c r="D44" s="556">
        <v>10</v>
      </c>
      <c r="E44" s="550">
        <v>24</v>
      </c>
      <c r="F44" s="552">
        <v>10</v>
      </c>
      <c r="G44" s="550">
        <v>12</v>
      </c>
      <c r="H44" s="552">
        <v>15</v>
      </c>
      <c r="I44" s="553">
        <v>24</v>
      </c>
      <c r="J44" s="734">
        <f>SUM(D44:I45)</f>
        <v>95</v>
      </c>
      <c r="K44" s="701"/>
      <c r="L44" s="735">
        <f>M44/12</f>
        <v>0</v>
      </c>
      <c r="M44" s="736">
        <f>J44*K44</f>
        <v>0</v>
      </c>
      <c r="N44" s="241"/>
    </row>
    <row r="45" spans="1:14" ht="9" customHeight="1">
      <c r="A45" s="447"/>
      <c r="B45" s="438"/>
      <c r="C45" s="548"/>
      <c r="D45" s="535"/>
      <c r="E45" s="542"/>
      <c r="F45" s="542"/>
      <c r="G45" s="542"/>
      <c r="H45" s="542"/>
      <c r="I45" s="542"/>
      <c r="J45" s="635"/>
      <c r="K45" s="656"/>
      <c r="L45" s="636"/>
      <c r="M45" s="737"/>
      <c r="N45" s="241"/>
    </row>
    <row r="46" spans="1:14" ht="14.25" customHeight="1">
      <c r="A46" s="554">
        <v>18</v>
      </c>
      <c r="B46" s="529" t="s">
        <v>413</v>
      </c>
      <c r="C46" s="555" t="s">
        <v>302</v>
      </c>
      <c r="D46" s="556">
        <v>5</v>
      </c>
      <c r="E46" s="550">
        <v>48</v>
      </c>
      <c r="F46" s="552">
        <v>24</v>
      </c>
      <c r="G46" s="550">
        <v>24</v>
      </c>
      <c r="H46" s="552">
        <v>15</v>
      </c>
      <c r="I46" s="553">
        <v>24</v>
      </c>
      <c r="J46" s="734">
        <f>SUM(D46:I47)</f>
        <v>140</v>
      </c>
      <c r="K46" s="701"/>
      <c r="L46" s="735">
        <f>M46/12</f>
        <v>0</v>
      </c>
      <c r="M46" s="736">
        <f>J46*K46</f>
        <v>0</v>
      </c>
      <c r="N46" s="241"/>
    </row>
    <row r="47" spans="1:14" ht="6" customHeight="1">
      <c r="A47" s="447"/>
      <c r="B47" s="438"/>
      <c r="C47" s="548"/>
      <c r="D47" s="535"/>
      <c r="E47" s="542"/>
      <c r="F47" s="542"/>
      <c r="G47" s="542"/>
      <c r="H47" s="542"/>
      <c r="I47" s="542"/>
      <c r="J47" s="635"/>
      <c r="K47" s="656"/>
      <c r="L47" s="636"/>
      <c r="M47" s="737"/>
      <c r="N47" s="241"/>
    </row>
    <row r="48" spans="1:14" ht="14.25" customHeight="1">
      <c r="A48" s="554">
        <v>19</v>
      </c>
      <c r="B48" s="529" t="s">
        <v>414</v>
      </c>
      <c r="C48" s="555" t="s">
        <v>302</v>
      </c>
      <c r="D48" s="556">
        <v>24</v>
      </c>
      <c r="E48" s="550">
        <v>24</v>
      </c>
      <c r="F48" s="552">
        <v>18</v>
      </c>
      <c r="G48" s="550">
        <v>24</v>
      </c>
      <c r="H48" s="552">
        <v>16</v>
      </c>
      <c r="I48" s="553">
        <v>24</v>
      </c>
      <c r="J48" s="734">
        <f>SUM(D48:I49)</f>
        <v>130</v>
      </c>
      <c r="K48" s="701"/>
      <c r="L48" s="735">
        <f>M48/12</f>
        <v>0</v>
      </c>
      <c r="M48" s="736">
        <f>J48*K48</f>
        <v>0</v>
      </c>
      <c r="N48" s="241"/>
    </row>
    <row r="49" spans="1:14" ht="8.25" customHeight="1">
      <c r="A49" s="447"/>
      <c r="B49" s="438"/>
      <c r="C49" s="548"/>
      <c r="D49" s="535"/>
      <c r="E49" s="542"/>
      <c r="F49" s="542"/>
      <c r="G49" s="542"/>
      <c r="H49" s="542"/>
      <c r="I49" s="542"/>
      <c r="J49" s="635"/>
      <c r="K49" s="656"/>
      <c r="L49" s="636"/>
      <c r="M49" s="737"/>
      <c r="N49" s="241"/>
    </row>
    <row r="50" spans="1:14" ht="14.25" customHeight="1">
      <c r="A50" s="554">
        <v>20</v>
      </c>
      <c r="B50" s="529" t="s">
        <v>415</v>
      </c>
      <c r="C50" s="555" t="s">
        <v>302</v>
      </c>
      <c r="D50" s="556">
        <v>12</v>
      </c>
      <c r="E50" s="550">
        <v>12</v>
      </c>
      <c r="F50" s="552">
        <v>12</v>
      </c>
      <c r="G50" s="550">
        <v>12</v>
      </c>
      <c r="H50" s="552">
        <v>10</v>
      </c>
      <c r="I50" s="553">
        <v>12</v>
      </c>
      <c r="J50" s="734">
        <f>SUM(D50:I51)</f>
        <v>70</v>
      </c>
      <c r="K50" s="701"/>
      <c r="L50" s="735">
        <f>M50/12</f>
        <v>0</v>
      </c>
      <c r="M50" s="736">
        <f>J50*K50</f>
        <v>0</v>
      </c>
      <c r="N50" s="241"/>
    </row>
    <row r="51" spans="1:14" ht="4.5" customHeight="1">
      <c r="A51" s="447"/>
      <c r="B51" s="438"/>
      <c r="C51" s="548"/>
      <c r="D51" s="535"/>
      <c r="E51" s="542"/>
      <c r="F51" s="542"/>
      <c r="G51" s="542"/>
      <c r="H51" s="542"/>
      <c r="I51" s="542"/>
      <c r="J51" s="635"/>
      <c r="K51" s="656"/>
      <c r="L51" s="636"/>
      <c r="M51" s="737"/>
      <c r="N51" s="241"/>
    </row>
    <row r="52" spans="1:14" ht="14.25" customHeight="1">
      <c r="A52" s="554">
        <v>21</v>
      </c>
      <c r="B52" s="529" t="s">
        <v>416</v>
      </c>
      <c r="C52" s="555" t="s">
        <v>302</v>
      </c>
      <c r="D52" s="556">
        <v>12</v>
      </c>
      <c r="E52" s="550">
        <v>48</v>
      </c>
      <c r="F52" s="552">
        <v>20</v>
      </c>
      <c r="G52" s="550">
        <v>12</v>
      </c>
      <c r="H52" s="552">
        <v>22</v>
      </c>
      <c r="I52" s="553">
        <v>24</v>
      </c>
      <c r="J52" s="734">
        <f>SUM(D52:I53)</f>
        <v>138</v>
      </c>
      <c r="K52" s="701"/>
      <c r="L52" s="735">
        <f>M52/12</f>
        <v>0</v>
      </c>
      <c r="M52" s="736">
        <f>J52*K52</f>
        <v>0</v>
      </c>
      <c r="N52" s="241"/>
    </row>
    <row r="53" spans="1:14" ht="1.5" customHeight="1">
      <c r="A53" s="447"/>
      <c r="B53" s="438"/>
      <c r="C53" s="548"/>
      <c r="D53" s="535"/>
      <c r="E53" s="542"/>
      <c r="F53" s="542"/>
      <c r="G53" s="542"/>
      <c r="H53" s="542"/>
      <c r="I53" s="542"/>
      <c r="J53" s="635"/>
      <c r="K53" s="656"/>
      <c r="L53" s="636"/>
      <c r="M53" s="737"/>
      <c r="N53" s="241"/>
    </row>
    <row r="54" spans="1:14" ht="14.25" customHeight="1">
      <c r="A54" s="558">
        <v>22</v>
      </c>
      <c r="B54" s="201" t="s">
        <v>417</v>
      </c>
      <c r="C54" s="557" t="s">
        <v>302</v>
      </c>
      <c r="D54" s="556">
        <v>25</v>
      </c>
      <c r="E54" s="550">
        <v>48</v>
      </c>
      <c r="F54" s="552">
        <v>25</v>
      </c>
      <c r="G54" s="550">
        <v>50</v>
      </c>
      <c r="H54" s="552">
        <v>32</v>
      </c>
      <c r="I54" s="553">
        <v>24</v>
      </c>
      <c r="J54" s="734">
        <f>SUM(D54:I59)</f>
        <v>204</v>
      </c>
      <c r="K54" s="701"/>
      <c r="L54" s="735">
        <f>M54/12</f>
        <v>0</v>
      </c>
      <c r="M54" s="736">
        <f>J54*K54</f>
        <v>0</v>
      </c>
      <c r="N54" s="241"/>
    </row>
    <row r="55" spans="1:14" ht="14.25" customHeight="1">
      <c r="A55" s="518"/>
      <c r="B55" s="210" t="s">
        <v>418</v>
      </c>
      <c r="C55" s="515"/>
      <c r="D55" s="534"/>
      <c r="E55" s="541"/>
      <c r="F55" s="541"/>
      <c r="G55" s="541"/>
      <c r="H55" s="541"/>
      <c r="I55" s="541"/>
      <c r="J55" s="639"/>
      <c r="K55" s="657"/>
      <c r="L55" s="640"/>
      <c r="M55" s="738"/>
      <c r="N55" s="241"/>
    </row>
    <row r="56" spans="1:14" ht="14.25" customHeight="1">
      <c r="A56" s="518"/>
      <c r="B56" s="210" t="s">
        <v>419</v>
      </c>
      <c r="C56" s="515"/>
      <c r="D56" s="534"/>
      <c r="E56" s="541"/>
      <c r="F56" s="541"/>
      <c r="G56" s="541"/>
      <c r="H56" s="541"/>
      <c r="I56" s="541"/>
      <c r="J56" s="639"/>
      <c r="K56" s="657"/>
      <c r="L56" s="640"/>
      <c r="M56" s="738"/>
      <c r="N56" s="241"/>
    </row>
    <row r="57" spans="1:14" ht="14.25" customHeight="1">
      <c r="A57" s="518"/>
      <c r="B57" s="210" t="s">
        <v>420</v>
      </c>
      <c r="C57" s="515"/>
      <c r="D57" s="534"/>
      <c r="E57" s="541"/>
      <c r="F57" s="541"/>
      <c r="G57" s="541"/>
      <c r="H57" s="541"/>
      <c r="I57" s="541"/>
      <c r="J57" s="639"/>
      <c r="K57" s="657"/>
      <c r="L57" s="640"/>
      <c r="M57" s="738"/>
      <c r="N57" s="241"/>
    </row>
    <row r="58" spans="1:14" ht="14.25" customHeight="1">
      <c r="A58" s="518"/>
      <c r="B58" s="210" t="s">
        <v>421</v>
      </c>
      <c r="C58" s="515"/>
      <c r="D58" s="534"/>
      <c r="E58" s="541"/>
      <c r="F58" s="541"/>
      <c r="G58" s="541"/>
      <c r="H58" s="541"/>
      <c r="I58" s="541"/>
      <c r="J58" s="639"/>
      <c r="K58" s="657"/>
      <c r="L58" s="640"/>
      <c r="M58" s="738"/>
      <c r="N58" s="241"/>
    </row>
    <row r="59" spans="1:14" ht="14.25" customHeight="1">
      <c r="A59" s="546"/>
      <c r="B59" s="210" t="s">
        <v>422</v>
      </c>
      <c r="C59" s="516"/>
      <c r="D59" s="535"/>
      <c r="E59" s="542"/>
      <c r="F59" s="542"/>
      <c r="G59" s="542"/>
      <c r="H59" s="542"/>
      <c r="I59" s="542"/>
      <c r="J59" s="635"/>
      <c r="K59" s="656"/>
      <c r="L59" s="636"/>
      <c r="M59" s="737"/>
      <c r="N59" s="241"/>
    </row>
    <row r="60" spans="1:14" ht="14.25" customHeight="1">
      <c r="A60" s="558">
        <v>23</v>
      </c>
      <c r="B60" s="209" t="s">
        <v>423</v>
      </c>
      <c r="C60" s="557" t="s">
        <v>302</v>
      </c>
      <c r="D60" s="556">
        <v>10</v>
      </c>
      <c r="E60" s="550">
        <v>24</v>
      </c>
      <c r="F60" s="552">
        <v>10</v>
      </c>
      <c r="G60" s="550">
        <v>6</v>
      </c>
      <c r="H60" s="552">
        <v>5</v>
      </c>
      <c r="I60" s="553">
        <v>12</v>
      </c>
      <c r="J60" s="734">
        <f>SUM(D60:I63)</f>
        <v>67</v>
      </c>
      <c r="K60" s="701"/>
      <c r="L60" s="735">
        <f>M60/12</f>
        <v>0</v>
      </c>
      <c r="M60" s="736">
        <f>J60*K60</f>
        <v>0</v>
      </c>
      <c r="N60" s="241"/>
    </row>
    <row r="61" spans="1:14" ht="14.25" customHeight="1">
      <c r="A61" s="518"/>
      <c r="B61" s="249" t="s">
        <v>424</v>
      </c>
      <c r="C61" s="515"/>
      <c r="D61" s="534"/>
      <c r="E61" s="541"/>
      <c r="F61" s="541"/>
      <c r="G61" s="541"/>
      <c r="H61" s="541"/>
      <c r="I61" s="541"/>
      <c r="J61" s="639"/>
      <c r="K61" s="657"/>
      <c r="L61" s="640"/>
      <c r="M61" s="738"/>
      <c r="N61" s="241"/>
    </row>
    <row r="62" spans="1:14" ht="14.25" customHeight="1">
      <c r="A62" s="518"/>
      <c r="B62" s="249" t="s">
        <v>425</v>
      </c>
      <c r="C62" s="515"/>
      <c r="D62" s="534"/>
      <c r="E62" s="541"/>
      <c r="F62" s="541"/>
      <c r="G62" s="541"/>
      <c r="H62" s="541"/>
      <c r="I62" s="541"/>
      <c r="J62" s="639"/>
      <c r="K62" s="657"/>
      <c r="L62" s="640"/>
      <c r="M62" s="738"/>
      <c r="N62" s="241"/>
    </row>
    <row r="63" spans="1:14" ht="14.25" customHeight="1">
      <c r="A63" s="546"/>
      <c r="B63" s="250" t="s">
        <v>426</v>
      </c>
      <c r="C63" s="516"/>
      <c r="D63" s="535"/>
      <c r="E63" s="542"/>
      <c r="F63" s="542"/>
      <c r="G63" s="542"/>
      <c r="H63" s="542"/>
      <c r="I63" s="542"/>
      <c r="J63" s="635"/>
      <c r="K63" s="656"/>
      <c r="L63" s="636"/>
      <c r="M63" s="737"/>
      <c r="N63" s="241"/>
    </row>
    <row r="64" spans="1:14" ht="14.25" customHeight="1">
      <c r="A64" s="251">
        <v>24</v>
      </c>
      <c r="B64" s="216" t="s">
        <v>427</v>
      </c>
      <c r="C64" s="252" t="s">
        <v>302</v>
      </c>
      <c r="D64" s="253">
        <v>4</v>
      </c>
      <c r="E64" s="254">
        <v>12</v>
      </c>
      <c r="F64" s="255">
        <v>5</v>
      </c>
      <c r="G64" s="254">
        <v>12</v>
      </c>
      <c r="H64" s="255">
        <v>20</v>
      </c>
      <c r="I64" s="256"/>
      <c r="J64" s="641">
        <f t="shared" ref="J64:J69" si="0">SUM(D64:I64)</f>
        <v>53</v>
      </c>
      <c r="K64" s="660"/>
      <c r="L64" s="642">
        <f t="shared" ref="L64:L69" si="1">M64/12</f>
        <v>0</v>
      </c>
      <c r="M64" s="739">
        <f t="shared" ref="M64:M69" si="2">J64*K64</f>
        <v>0</v>
      </c>
      <c r="N64" s="241"/>
    </row>
    <row r="65" spans="1:14" ht="14.25" customHeight="1">
      <c r="A65" s="251">
        <v>25</v>
      </c>
      <c r="B65" s="213" t="s">
        <v>428</v>
      </c>
      <c r="C65" s="252" t="s">
        <v>302</v>
      </c>
      <c r="D65" s="257"/>
      <c r="E65" s="254">
        <v>12</v>
      </c>
      <c r="F65" s="255">
        <v>5</v>
      </c>
      <c r="G65" s="254">
        <v>24</v>
      </c>
      <c r="H65" s="255">
        <v>12</v>
      </c>
      <c r="I65" s="256"/>
      <c r="J65" s="641">
        <f t="shared" si="0"/>
        <v>53</v>
      </c>
      <c r="K65" s="660"/>
      <c r="L65" s="642">
        <f t="shared" si="1"/>
        <v>0</v>
      </c>
      <c r="M65" s="739">
        <f t="shared" si="2"/>
        <v>0</v>
      </c>
      <c r="N65" s="241"/>
    </row>
    <row r="66" spans="1:14" ht="14.25" customHeight="1">
      <c r="A66" s="251">
        <v>26</v>
      </c>
      <c r="B66" s="213" t="s">
        <v>429</v>
      </c>
      <c r="C66" s="252" t="s">
        <v>302</v>
      </c>
      <c r="D66" s="257"/>
      <c r="E66" s="256"/>
      <c r="F66" s="255">
        <v>5</v>
      </c>
      <c r="G66" s="254">
        <v>24</v>
      </c>
      <c r="H66" s="246"/>
      <c r="I66" s="256"/>
      <c r="J66" s="641">
        <f t="shared" si="0"/>
        <v>29</v>
      </c>
      <c r="K66" s="660"/>
      <c r="L66" s="642">
        <f t="shared" si="1"/>
        <v>0</v>
      </c>
      <c r="M66" s="739">
        <f t="shared" si="2"/>
        <v>0</v>
      </c>
      <c r="N66" s="241"/>
    </row>
    <row r="67" spans="1:14" ht="14.25" customHeight="1">
      <c r="A67" s="251">
        <v>27</v>
      </c>
      <c r="B67" s="199" t="s">
        <v>430</v>
      </c>
      <c r="C67" s="243" t="s">
        <v>302</v>
      </c>
      <c r="D67" s="258">
        <v>2</v>
      </c>
      <c r="E67" s="228">
        <v>5</v>
      </c>
      <c r="F67" s="227">
        <v>3</v>
      </c>
      <c r="G67" s="228">
        <v>3</v>
      </c>
      <c r="H67" s="227">
        <v>3</v>
      </c>
      <c r="I67" s="229">
        <v>2</v>
      </c>
      <c r="J67" s="641">
        <f t="shared" si="0"/>
        <v>18</v>
      </c>
      <c r="K67" s="660"/>
      <c r="L67" s="642">
        <f t="shared" si="1"/>
        <v>0</v>
      </c>
      <c r="M67" s="739">
        <f t="shared" si="2"/>
        <v>0</v>
      </c>
      <c r="N67" s="241"/>
    </row>
    <row r="68" spans="1:14" ht="14.25" customHeight="1">
      <c r="A68" s="251">
        <v>28</v>
      </c>
      <c r="B68" s="213" t="s">
        <v>431</v>
      </c>
      <c r="C68" s="243" t="s">
        <v>302</v>
      </c>
      <c r="D68" s="259">
        <v>2</v>
      </c>
      <c r="E68" s="260">
        <v>3</v>
      </c>
      <c r="F68" s="261">
        <v>2</v>
      </c>
      <c r="G68" s="260">
        <v>2</v>
      </c>
      <c r="H68" s="261">
        <v>2</v>
      </c>
      <c r="I68" s="260">
        <v>1</v>
      </c>
      <c r="J68" s="641">
        <f t="shared" si="0"/>
        <v>12</v>
      </c>
      <c r="K68" s="660"/>
      <c r="L68" s="642">
        <f t="shared" si="1"/>
        <v>0</v>
      </c>
      <c r="M68" s="739">
        <f t="shared" si="2"/>
        <v>0</v>
      </c>
      <c r="N68" s="241"/>
    </row>
    <row r="69" spans="1:14" ht="14.25" customHeight="1">
      <c r="A69" s="262">
        <v>29</v>
      </c>
      <c r="B69" s="263" t="s">
        <v>432</v>
      </c>
      <c r="C69" s="264" t="s">
        <v>302</v>
      </c>
      <c r="D69" s="258">
        <v>2</v>
      </c>
      <c r="E69" s="228">
        <v>12</v>
      </c>
      <c r="F69" s="227">
        <v>3</v>
      </c>
      <c r="G69" s="228">
        <v>2</v>
      </c>
      <c r="H69" s="227">
        <v>3</v>
      </c>
      <c r="I69" s="229">
        <v>3</v>
      </c>
      <c r="J69" s="641">
        <f t="shared" si="0"/>
        <v>25</v>
      </c>
      <c r="K69" s="660"/>
      <c r="L69" s="642">
        <f t="shared" si="1"/>
        <v>0</v>
      </c>
      <c r="M69" s="739">
        <f t="shared" si="2"/>
        <v>0</v>
      </c>
      <c r="N69" s="241"/>
    </row>
    <row r="70" spans="1:14" ht="14.25" customHeight="1">
      <c r="A70" s="740" t="s">
        <v>15</v>
      </c>
      <c r="B70" s="741"/>
      <c r="C70" s="742"/>
      <c r="D70" s="743"/>
      <c r="E70" s="744"/>
      <c r="F70" s="744"/>
      <c r="G70" s="744"/>
      <c r="H70" s="744"/>
      <c r="I70" s="744"/>
      <c r="J70" s="744"/>
      <c r="K70" s="745"/>
      <c r="L70" s="746">
        <f t="shared" ref="L70:M70" si="3">SUM(L5:L69)</f>
        <v>0</v>
      </c>
      <c r="M70" s="746">
        <f t="shared" si="3"/>
        <v>0</v>
      </c>
      <c r="N70" s="241"/>
    </row>
    <row r="71" spans="1:14" ht="14.25" customHeight="1">
      <c r="A71" s="650" t="s">
        <v>433</v>
      </c>
      <c r="B71" s="644"/>
      <c r="C71" s="651">
        <f>'Resumo dos valores'!G27</f>
        <v>48</v>
      </c>
      <c r="D71" s="747"/>
      <c r="E71" s="748"/>
      <c r="F71" s="748"/>
      <c r="G71" s="748"/>
      <c r="H71" s="748"/>
      <c r="I71" s="748"/>
      <c r="J71" s="748"/>
      <c r="K71" s="749"/>
      <c r="L71" s="750">
        <f>L70/C71</f>
        <v>0</v>
      </c>
      <c r="M71" s="750">
        <f>M70/C71</f>
        <v>0</v>
      </c>
      <c r="N71" s="241"/>
    </row>
    <row r="72" spans="1:14" ht="14.25" customHeight="1">
      <c r="A72" s="241"/>
      <c r="B72" s="241"/>
      <c r="C72" s="241"/>
      <c r="D72" s="241"/>
      <c r="E72" s="241"/>
      <c r="F72" s="241"/>
      <c r="G72" s="241"/>
      <c r="H72" s="241"/>
      <c r="I72" s="241"/>
      <c r="J72" s="241"/>
      <c r="K72" s="241"/>
      <c r="L72" s="241"/>
      <c r="M72" s="241"/>
      <c r="N72" s="241"/>
    </row>
  </sheetData>
  <mergeCells count="314">
    <mergeCell ref="H48:H49"/>
    <mergeCell ref="I48:I49"/>
    <mergeCell ref="J48:J49"/>
    <mergeCell ref="K48:K49"/>
    <mergeCell ref="L48:L49"/>
    <mergeCell ref="M48:M49"/>
    <mergeCell ref="A48:A49"/>
    <mergeCell ref="B48:B49"/>
    <mergeCell ref="C48:C49"/>
    <mergeCell ref="D48:D49"/>
    <mergeCell ref="E48:E49"/>
    <mergeCell ref="F48:F49"/>
    <mergeCell ref="G48:G49"/>
    <mergeCell ref="H46:H47"/>
    <mergeCell ref="I46:I47"/>
    <mergeCell ref="J46:J47"/>
    <mergeCell ref="K46:K47"/>
    <mergeCell ref="L46:L47"/>
    <mergeCell ref="M46:M47"/>
    <mergeCell ref="A46:A47"/>
    <mergeCell ref="B46:B47"/>
    <mergeCell ref="C46:C47"/>
    <mergeCell ref="D46:D47"/>
    <mergeCell ref="E46:E47"/>
    <mergeCell ref="F46:F47"/>
    <mergeCell ref="G46:G47"/>
    <mergeCell ref="H44:H45"/>
    <mergeCell ref="I44:I45"/>
    <mergeCell ref="J44:J45"/>
    <mergeCell ref="K44:K45"/>
    <mergeCell ref="L44:L45"/>
    <mergeCell ref="M44:M45"/>
    <mergeCell ref="A44:A45"/>
    <mergeCell ref="B44:B45"/>
    <mergeCell ref="C44:C45"/>
    <mergeCell ref="D44:D45"/>
    <mergeCell ref="E44:E45"/>
    <mergeCell ref="F44:F45"/>
    <mergeCell ref="G44:G45"/>
    <mergeCell ref="H36:H39"/>
    <mergeCell ref="I36:I39"/>
    <mergeCell ref="J36:J39"/>
    <mergeCell ref="K36:K39"/>
    <mergeCell ref="L36:L37"/>
    <mergeCell ref="M36:M39"/>
    <mergeCell ref="L38:L39"/>
    <mergeCell ref="A36:A39"/>
    <mergeCell ref="B36:B39"/>
    <mergeCell ref="C36:C39"/>
    <mergeCell ref="D36:D39"/>
    <mergeCell ref="E36:E39"/>
    <mergeCell ref="F36:F39"/>
    <mergeCell ref="G36:G39"/>
    <mergeCell ref="H34:H35"/>
    <mergeCell ref="I34:I35"/>
    <mergeCell ref="J34:J35"/>
    <mergeCell ref="K34:K35"/>
    <mergeCell ref="L34:L35"/>
    <mergeCell ref="M34:M35"/>
    <mergeCell ref="A34:A35"/>
    <mergeCell ref="B34:B35"/>
    <mergeCell ref="C34:C35"/>
    <mergeCell ref="D34:D35"/>
    <mergeCell ref="E34:E35"/>
    <mergeCell ref="F34:F35"/>
    <mergeCell ref="G34:G35"/>
    <mergeCell ref="H32:H33"/>
    <mergeCell ref="I32:I33"/>
    <mergeCell ref="J32:J33"/>
    <mergeCell ref="K32:K33"/>
    <mergeCell ref="L32:L33"/>
    <mergeCell ref="M32:M33"/>
    <mergeCell ref="A32:A33"/>
    <mergeCell ref="B32:B33"/>
    <mergeCell ref="C32:C33"/>
    <mergeCell ref="D32:D33"/>
    <mergeCell ref="E32:E33"/>
    <mergeCell ref="F32:F33"/>
    <mergeCell ref="G32:G33"/>
    <mergeCell ref="H30:H31"/>
    <mergeCell ref="I30:I31"/>
    <mergeCell ref="J30:J31"/>
    <mergeCell ref="K30:K31"/>
    <mergeCell ref="L30:L31"/>
    <mergeCell ref="M30:M31"/>
    <mergeCell ref="A30:A31"/>
    <mergeCell ref="B30:B31"/>
    <mergeCell ref="C30:C31"/>
    <mergeCell ref="D30:D31"/>
    <mergeCell ref="E30:E31"/>
    <mergeCell ref="F30:F31"/>
    <mergeCell ref="G30:G31"/>
    <mergeCell ref="H22:H23"/>
    <mergeCell ref="I22:I23"/>
    <mergeCell ref="J22:J23"/>
    <mergeCell ref="K22:K23"/>
    <mergeCell ref="L22:L23"/>
    <mergeCell ref="M22:M23"/>
    <mergeCell ref="A22:A23"/>
    <mergeCell ref="B22:B23"/>
    <mergeCell ref="C22:C23"/>
    <mergeCell ref="D22:D23"/>
    <mergeCell ref="E22:E23"/>
    <mergeCell ref="F22:F23"/>
    <mergeCell ref="G22:G23"/>
    <mergeCell ref="H20:H21"/>
    <mergeCell ref="I20:I21"/>
    <mergeCell ref="J20:J21"/>
    <mergeCell ref="K20:K21"/>
    <mergeCell ref="L20:L21"/>
    <mergeCell ref="M20:M21"/>
    <mergeCell ref="A20:A21"/>
    <mergeCell ref="B20:B21"/>
    <mergeCell ref="C20:C21"/>
    <mergeCell ref="D20:D21"/>
    <mergeCell ref="E20:E21"/>
    <mergeCell ref="F20:F21"/>
    <mergeCell ref="G20:G21"/>
    <mergeCell ref="H18:H19"/>
    <mergeCell ref="I18:I19"/>
    <mergeCell ref="J18:J19"/>
    <mergeCell ref="K18:K19"/>
    <mergeCell ref="L18:L19"/>
    <mergeCell ref="M18:M19"/>
    <mergeCell ref="A18:A19"/>
    <mergeCell ref="B18:B19"/>
    <mergeCell ref="C18:C19"/>
    <mergeCell ref="D18:D19"/>
    <mergeCell ref="E18:E19"/>
    <mergeCell ref="F18:F19"/>
    <mergeCell ref="G18:G19"/>
    <mergeCell ref="I60:I63"/>
    <mergeCell ref="J60:J63"/>
    <mergeCell ref="K60:K63"/>
    <mergeCell ref="L60:L63"/>
    <mergeCell ref="M60:M63"/>
    <mergeCell ref="A60:A63"/>
    <mergeCell ref="C60:C63"/>
    <mergeCell ref="D60:D63"/>
    <mergeCell ref="E60:E63"/>
    <mergeCell ref="F60:F63"/>
    <mergeCell ref="G60:G63"/>
    <mergeCell ref="H60:H63"/>
    <mergeCell ref="I54:I59"/>
    <mergeCell ref="J54:J59"/>
    <mergeCell ref="K54:K59"/>
    <mergeCell ref="L54:L59"/>
    <mergeCell ref="M54:M59"/>
    <mergeCell ref="A52:A53"/>
    <mergeCell ref="B52:B53"/>
    <mergeCell ref="D52:D53"/>
    <mergeCell ref="E52:E53"/>
    <mergeCell ref="F52:F53"/>
    <mergeCell ref="G52:G53"/>
    <mergeCell ref="A54:A59"/>
    <mergeCell ref="H52:H53"/>
    <mergeCell ref="I52:I53"/>
    <mergeCell ref="J52:J53"/>
    <mergeCell ref="K52:K53"/>
    <mergeCell ref="L52:L53"/>
    <mergeCell ref="M52:M53"/>
    <mergeCell ref="C52:C53"/>
    <mergeCell ref="C54:C59"/>
    <mergeCell ref="A70:C70"/>
    <mergeCell ref="A71:B71"/>
    <mergeCell ref="D54:D59"/>
    <mergeCell ref="E54:E59"/>
    <mergeCell ref="F54:F59"/>
    <mergeCell ref="G54:G59"/>
    <mergeCell ref="H54:H59"/>
    <mergeCell ref="H50:H51"/>
    <mergeCell ref="I50:I51"/>
    <mergeCell ref="J50:J51"/>
    <mergeCell ref="K50:K51"/>
    <mergeCell ref="L50:L51"/>
    <mergeCell ref="M50:M51"/>
    <mergeCell ref="A50:A51"/>
    <mergeCell ref="B50:B51"/>
    <mergeCell ref="C50:C51"/>
    <mergeCell ref="D50:D51"/>
    <mergeCell ref="E50:E51"/>
    <mergeCell ref="F50:F51"/>
    <mergeCell ref="G50:G51"/>
    <mergeCell ref="H40:H43"/>
    <mergeCell ref="I40:I43"/>
    <mergeCell ref="J40:J43"/>
    <mergeCell ref="K40:K43"/>
    <mergeCell ref="L40:L41"/>
    <mergeCell ref="M40:M43"/>
    <mergeCell ref="L42:L43"/>
    <mergeCell ref="A40:A43"/>
    <mergeCell ref="B40:B43"/>
    <mergeCell ref="C40:C43"/>
    <mergeCell ref="D40:D43"/>
    <mergeCell ref="E40:E43"/>
    <mergeCell ref="F40:F43"/>
    <mergeCell ref="G40:G43"/>
    <mergeCell ref="H28:H29"/>
    <mergeCell ref="I28:I29"/>
    <mergeCell ref="J28:J29"/>
    <mergeCell ref="K28:K29"/>
    <mergeCell ref="L28:L29"/>
    <mergeCell ref="M28:M29"/>
    <mergeCell ref="A28:A29"/>
    <mergeCell ref="B28:B29"/>
    <mergeCell ref="C28:C29"/>
    <mergeCell ref="D28:D29"/>
    <mergeCell ref="E28:E29"/>
    <mergeCell ref="F28:F29"/>
    <mergeCell ref="G28:G29"/>
    <mergeCell ref="H26:H27"/>
    <mergeCell ref="I26:I27"/>
    <mergeCell ref="J26:J27"/>
    <mergeCell ref="K26:K27"/>
    <mergeCell ref="L26:L27"/>
    <mergeCell ref="M26:M27"/>
    <mergeCell ref="A26:A27"/>
    <mergeCell ref="B26:B27"/>
    <mergeCell ref="C26:C27"/>
    <mergeCell ref="D26:D27"/>
    <mergeCell ref="E26:E27"/>
    <mergeCell ref="F26:F27"/>
    <mergeCell ref="G26:G27"/>
    <mergeCell ref="H24:H25"/>
    <mergeCell ref="I24:I25"/>
    <mergeCell ref="J24:J25"/>
    <mergeCell ref="K24:K25"/>
    <mergeCell ref="L24:L25"/>
    <mergeCell ref="M24:M25"/>
    <mergeCell ref="A24:A25"/>
    <mergeCell ref="B24:B25"/>
    <mergeCell ref="C24:C25"/>
    <mergeCell ref="D24:D25"/>
    <mergeCell ref="E24:E25"/>
    <mergeCell ref="F24:F25"/>
    <mergeCell ref="G24:G25"/>
    <mergeCell ref="H7:H9"/>
    <mergeCell ref="I7:I9"/>
    <mergeCell ref="J7:J9"/>
    <mergeCell ref="K7:K9"/>
    <mergeCell ref="L7:L9"/>
    <mergeCell ref="M7:M9"/>
    <mergeCell ref="H15:H17"/>
    <mergeCell ref="I15:I17"/>
    <mergeCell ref="A15:A17"/>
    <mergeCell ref="B15:B17"/>
    <mergeCell ref="C15:C17"/>
    <mergeCell ref="D15:D17"/>
    <mergeCell ref="E15:E17"/>
    <mergeCell ref="F15:F17"/>
    <mergeCell ref="G15:G17"/>
    <mergeCell ref="H5:H6"/>
    <mergeCell ref="I5:I6"/>
    <mergeCell ref="J5:J6"/>
    <mergeCell ref="K5:K6"/>
    <mergeCell ref="L5:L6"/>
    <mergeCell ref="M5:M6"/>
    <mergeCell ref="A5:A6"/>
    <mergeCell ref="B5:B6"/>
    <mergeCell ref="C5:C6"/>
    <mergeCell ref="D5:D6"/>
    <mergeCell ref="E5:E6"/>
    <mergeCell ref="F5:F6"/>
    <mergeCell ref="G5:G6"/>
    <mergeCell ref="H1:H2"/>
    <mergeCell ref="I1:I2"/>
    <mergeCell ref="J1:J3"/>
    <mergeCell ref="K1:K3"/>
    <mergeCell ref="L1:L3"/>
    <mergeCell ref="M1:M3"/>
    <mergeCell ref="A1:A3"/>
    <mergeCell ref="B1:B3"/>
    <mergeCell ref="C1:C3"/>
    <mergeCell ref="D1:D2"/>
    <mergeCell ref="E1:E2"/>
    <mergeCell ref="F1:F2"/>
    <mergeCell ref="G1:G2"/>
    <mergeCell ref="J15:J17"/>
    <mergeCell ref="K15:K17"/>
    <mergeCell ref="H12:H14"/>
    <mergeCell ref="I12:I14"/>
    <mergeCell ref="J12:J14"/>
    <mergeCell ref="K12:K14"/>
    <mergeCell ref="L12:L13"/>
    <mergeCell ref="M12:M14"/>
    <mergeCell ref="L14:L17"/>
    <mergeCell ref="M15:M17"/>
    <mergeCell ref="A7:A9"/>
    <mergeCell ref="B7:B9"/>
    <mergeCell ref="C7:C9"/>
    <mergeCell ref="D7:D9"/>
    <mergeCell ref="E7:E9"/>
    <mergeCell ref="F7:F9"/>
    <mergeCell ref="G7:G9"/>
    <mergeCell ref="A12:A14"/>
    <mergeCell ref="B12:B14"/>
    <mergeCell ref="C12:C14"/>
    <mergeCell ref="D12:D14"/>
    <mergeCell ref="E12:E14"/>
    <mergeCell ref="F12:F14"/>
    <mergeCell ref="G12:G14"/>
    <mergeCell ref="H10:H11"/>
    <mergeCell ref="I10:I11"/>
    <mergeCell ref="J10:J11"/>
    <mergeCell ref="K10:K11"/>
    <mergeCell ref="L10:L11"/>
    <mergeCell ref="M10:M11"/>
    <mergeCell ref="A10:A11"/>
    <mergeCell ref="B10:B11"/>
    <mergeCell ref="C10:C11"/>
    <mergeCell ref="D10:D11"/>
    <mergeCell ref="E10:E11"/>
    <mergeCell ref="F10:F11"/>
    <mergeCell ref="G10:G11"/>
  </mergeCells>
  <dataValidations count="2">
    <dataValidation type="decimal" allowBlank="1" showDropDown="1" showInputMessage="1" showErrorMessage="1" prompt="Insira um número!" sqref="D67:I67 D69:I69" xr:uid="{00000000-0002-0000-0900-000000000000}">
      <formula1>1</formula1>
      <formula2>1000</formula2>
    </dataValidation>
    <dataValidation type="decimal" allowBlank="1" showDropDown="1" showInputMessage="1" showErrorMessage="1" prompt="Insira um número!" sqref="D5:I5 D7:I7 D10:I10 D12:I12 D15:I15 D18:I18 D20:I20 D22:I22 D24:I24 D26:I26 D28:I28 D30:I30 D32:I32 D34:I34 D36:I36 D40:I40 D44:I44 D46:I46 D48:I48 D50:I50 D52:I52 D54:I54 D60:I60 D64:I66 D68:I68" xr:uid="{00000000-0002-0000-0900-000001000000}">
      <formula1>1</formula1>
      <formula2>100</formula2>
    </dataValidation>
  </dataValidations>
  <pageMargins left="0.18152000081490466" right="0" top="0.24202666775320622" bottom="0.39370078740157477" header="0" footer="0"/>
  <pageSetup paperSize="9" pageOrder="overThenDown" orientation="landscape"/>
  <headerFooter>
    <oddHeader>&amp;CANEXO I - J  - LISTA DE UTENSÍLIOS (44h Segunda à Sexta)</oddHead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outlinePr summaryBelow="0" summaryRight="0"/>
    <pageSetUpPr fitToPage="1"/>
  </sheetPr>
  <dimension ref="A1:H39"/>
  <sheetViews>
    <sheetView showGridLines="0" workbookViewId="0">
      <selection activeCell="J14" sqref="J14"/>
    </sheetView>
  </sheetViews>
  <sheetFormatPr defaultColWidth="14.42578125" defaultRowHeight="15" customHeight="1"/>
  <cols>
    <col min="1" max="1" width="29.5703125" customWidth="1"/>
    <col min="2" max="2" width="51.42578125" customWidth="1"/>
    <col min="3" max="3" width="23.42578125" customWidth="1"/>
    <col min="5" max="5" width="23.42578125" customWidth="1"/>
    <col min="6" max="6" width="31.42578125" customWidth="1"/>
  </cols>
  <sheetData>
    <row r="1" spans="1:7" ht="15" customHeight="1">
      <c r="A1" s="567" t="s">
        <v>434</v>
      </c>
      <c r="B1" s="568"/>
      <c r="C1" s="568"/>
      <c r="D1" s="568"/>
      <c r="E1" s="568"/>
      <c r="F1" s="568"/>
      <c r="G1" s="569"/>
    </row>
    <row r="2" spans="1:7" ht="15" customHeight="1">
      <c r="A2" s="559" t="s">
        <v>17</v>
      </c>
      <c r="B2" s="570" t="s">
        <v>2</v>
      </c>
      <c r="C2" s="571" t="s">
        <v>435</v>
      </c>
      <c r="D2" s="572" t="s">
        <v>18</v>
      </c>
      <c r="E2" s="571" t="s">
        <v>21</v>
      </c>
      <c r="F2" s="573" t="s">
        <v>22</v>
      </c>
      <c r="G2" s="574" t="s">
        <v>436</v>
      </c>
    </row>
    <row r="3" spans="1:7" ht="15" customHeight="1">
      <c r="A3" s="524"/>
      <c r="B3" s="437"/>
      <c r="C3" s="513"/>
      <c r="D3" s="437"/>
      <c r="E3" s="513"/>
      <c r="F3" s="512"/>
      <c r="G3" s="437"/>
    </row>
    <row r="4" spans="1:7" ht="15" customHeight="1">
      <c r="A4" s="525"/>
      <c r="B4" s="438"/>
      <c r="C4" s="431"/>
      <c r="D4" s="438"/>
      <c r="E4" s="431"/>
      <c r="F4" s="429"/>
      <c r="G4" s="438"/>
    </row>
    <row r="5" spans="1:7" ht="15" customHeight="1">
      <c r="A5" s="560" t="s">
        <v>25</v>
      </c>
      <c r="B5" s="265" t="s">
        <v>26</v>
      </c>
      <c r="C5" s="266">
        <f>A.Reitoria!Q29+'A. DGBR'!Q28+'A. DGCE'!Q28+'A. DGES'!Q33+'A. DGRE'!Q28+'A. DGSS'!Q28</f>
        <v>7040.7199999999966</v>
      </c>
      <c r="D5" s="267">
        <v>1200</v>
      </c>
      <c r="E5" s="561">
        <f>SUM(C5:C14)</f>
        <v>43512.33</v>
      </c>
      <c r="F5" s="268">
        <f t="shared" ref="F5:F20" si="0">C5/D5</f>
        <v>5.867266666666664</v>
      </c>
      <c r="G5" s="269">
        <f>'A. DGCE'!P55</f>
        <v>0</v>
      </c>
    </row>
    <row r="6" spans="1:7" ht="15" customHeight="1">
      <c r="A6" s="524"/>
      <c r="B6" s="21" t="s">
        <v>27</v>
      </c>
      <c r="C6" s="266">
        <f>A.Reitoria!Q32+'A. DGBR'!Q29+'A. DGCE'!Q29+'A. DGES'!Q34+'A. DGRE'!Q29+'A. DGSS'!Q29</f>
        <v>19853.91</v>
      </c>
      <c r="D6" s="22">
        <v>1200</v>
      </c>
      <c r="E6" s="437"/>
      <c r="F6" s="268">
        <f t="shared" si="0"/>
        <v>16.544924999999999</v>
      </c>
      <c r="G6" s="269">
        <f>'A. DGBR'!P49+'A. DGES'!P53+'A. DGSS'!P48</f>
        <v>207.85000000000002</v>
      </c>
    </row>
    <row r="7" spans="1:7" ht="15" customHeight="1">
      <c r="A7" s="524"/>
      <c r="B7" s="21" t="s">
        <v>28</v>
      </c>
      <c r="C7" s="266">
        <f>A.Reitoria!Q31</f>
        <v>2184.88</v>
      </c>
      <c r="D7" s="22">
        <v>1000</v>
      </c>
      <c r="E7" s="437"/>
      <c r="F7" s="268">
        <f t="shared" si="0"/>
        <v>2.1848800000000002</v>
      </c>
      <c r="G7" s="269"/>
    </row>
    <row r="8" spans="1:7" ht="15" customHeight="1">
      <c r="A8" s="524"/>
      <c r="B8" s="21" t="s">
        <v>29</v>
      </c>
      <c r="C8" s="266">
        <f>A.Reitoria!Q30</f>
        <v>1180.3500000000004</v>
      </c>
      <c r="D8" s="22">
        <v>800</v>
      </c>
      <c r="E8" s="437"/>
      <c r="F8" s="268">
        <f t="shared" si="0"/>
        <v>1.4754375000000004</v>
      </c>
      <c r="G8" s="269"/>
    </row>
    <row r="9" spans="1:7" ht="15" customHeight="1">
      <c r="A9" s="524"/>
      <c r="B9" s="21" t="s">
        <v>30</v>
      </c>
      <c r="C9" s="266">
        <f>A.Reitoria!Q34+'A. DGBR'!Q30+'A. DGCE'!Q30+'A. DGES'!Q35+'A. DGRE'!Q30+'A. DGSS'!Q30</f>
        <v>283.57</v>
      </c>
      <c r="D9" s="27">
        <v>450</v>
      </c>
      <c r="E9" s="437"/>
      <c r="F9" s="268">
        <f t="shared" si="0"/>
        <v>0.63015555555555558</v>
      </c>
      <c r="G9" s="270">
        <v>0</v>
      </c>
    </row>
    <row r="10" spans="1:7" ht="15" customHeight="1">
      <c r="A10" s="524"/>
      <c r="B10" s="21" t="s">
        <v>31</v>
      </c>
      <c r="C10" s="266">
        <f>A.Reitoria!Q35+'A. DGBR'!Q31+'A. DGCE'!Q31+'A. DGES'!Q36+'A. DGRE'!Q31+'A. DGSS'!Q31</f>
        <v>1330.6899999999998</v>
      </c>
      <c r="D10" s="22">
        <v>2500</v>
      </c>
      <c r="E10" s="437"/>
      <c r="F10" s="268">
        <f t="shared" si="0"/>
        <v>0.53227599999999997</v>
      </c>
      <c r="G10" s="270">
        <v>0</v>
      </c>
    </row>
    <row r="11" spans="1:7" ht="15" customHeight="1">
      <c r="A11" s="524"/>
      <c r="B11" s="21" t="s">
        <v>32</v>
      </c>
      <c r="C11" s="266">
        <f>A.Reitoria!Q36+'A. DGBR'!Q32+'A. DGCE'!Q32+'A. DGES'!Q37+'A. DGRE'!Q32+'A. DGSS'!Q32</f>
        <v>386.1</v>
      </c>
      <c r="D11" s="22">
        <v>1800</v>
      </c>
      <c r="E11" s="437"/>
      <c r="F11" s="268">
        <f t="shared" si="0"/>
        <v>0.21450000000000002</v>
      </c>
      <c r="G11" s="270">
        <v>0</v>
      </c>
    </row>
    <row r="12" spans="1:7" ht="15" customHeight="1">
      <c r="A12" s="524"/>
      <c r="B12" s="21" t="s">
        <v>33</v>
      </c>
      <c r="C12" s="266">
        <f>A.Reitoria!Q37+'A. DGBR'!Q33+'A. DGCE'!Q33+'A. DGES'!Q38+'A. DGRE'!Q33+'A. DGSS'!Q33</f>
        <v>9337.5299999999988</v>
      </c>
      <c r="D12" s="22">
        <v>1500</v>
      </c>
      <c r="E12" s="437"/>
      <c r="F12" s="268">
        <f t="shared" si="0"/>
        <v>6.2250199999999989</v>
      </c>
      <c r="G12" s="270">
        <v>0</v>
      </c>
    </row>
    <row r="13" spans="1:7" ht="15" customHeight="1">
      <c r="A13" s="524"/>
      <c r="B13" s="21" t="s">
        <v>34</v>
      </c>
      <c r="C13" s="266">
        <f>A.Reitoria!Q38</f>
        <v>63.959999999999994</v>
      </c>
      <c r="D13" s="27">
        <v>200</v>
      </c>
      <c r="E13" s="437"/>
      <c r="F13" s="268">
        <f t="shared" si="0"/>
        <v>0.31979999999999997</v>
      </c>
      <c r="G13" s="270"/>
    </row>
    <row r="14" spans="1:7" ht="15" customHeight="1">
      <c r="A14" s="525"/>
      <c r="B14" s="21" t="s">
        <v>35</v>
      </c>
      <c r="C14" s="266">
        <f>A.Reitoria!Q39+'A. DGBR'!Q34+'A. DGCE'!Q34+'A. DGES'!Q39+'A. DGRE'!Q34+'A. DGSS'!Q34</f>
        <v>1850.6200000000001</v>
      </c>
      <c r="D14" s="27">
        <v>300</v>
      </c>
      <c r="E14" s="438"/>
      <c r="F14" s="268">
        <f t="shared" si="0"/>
        <v>6.1687333333333338</v>
      </c>
      <c r="G14" s="270">
        <v>0</v>
      </c>
    </row>
    <row r="15" spans="1:7" ht="15" customHeight="1">
      <c r="A15" s="562" t="s">
        <v>36</v>
      </c>
      <c r="B15" s="21" t="s">
        <v>37</v>
      </c>
      <c r="C15" s="266">
        <f>A.Reitoria!Q40+'A. DGBR'!Q35+'A. DGCE'!Q35+'A. DGES'!Q40+'A. DGRE'!Q35+'A. DGSS'!Q35</f>
        <v>1668.4299999999998</v>
      </c>
      <c r="D15" s="22">
        <v>2700</v>
      </c>
      <c r="E15" s="563">
        <f>SUM(C15:C20)</f>
        <v>61117.08</v>
      </c>
      <c r="F15" s="268">
        <f t="shared" si="0"/>
        <v>0.61793703703703695</v>
      </c>
      <c r="G15" s="270">
        <v>0</v>
      </c>
    </row>
    <row r="16" spans="1:7" ht="15" customHeight="1">
      <c r="A16" s="524"/>
      <c r="B16" s="21" t="s">
        <v>38</v>
      </c>
      <c r="C16" s="266">
        <f>A.Reitoria!Q41+'A. DGBR'!Q36+'A. DGCE'!Q36+'A. DGES'!Q41+'A. DGRE'!Q36+'A. DGSS'!Q36</f>
        <v>31802.920000000002</v>
      </c>
      <c r="D16" s="22">
        <v>9000</v>
      </c>
      <c r="E16" s="437"/>
      <c r="F16" s="268">
        <f t="shared" si="0"/>
        <v>3.533657777777778</v>
      </c>
      <c r="G16" s="270">
        <v>0</v>
      </c>
    </row>
    <row r="17" spans="1:7" ht="15" customHeight="1">
      <c r="A17" s="524"/>
      <c r="B17" s="21" t="s">
        <v>39</v>
      </c>
      <c r="C17" s="266">
        <f>A.Reitoria!Q42+'A. DGBR'!Q37+'A. DGCE'!Q37+'A. DGES'!Q42+'A. DGRE'!Q37+'A. DGSS'!Q37</f>
        <v>1189.04</v>
      </c>
      <c r="D17" s="22">
        <v>2700</v>
      </c>
      <c r="E17" s="437"/>
      <c r="F17" s="268">
        <f t="shared" si="0"/>
        <v>0.44038518518518516</v>
      </c>
      <c r="G17" s="270">
        <v>0</v>
      </c>
    </row>
    <row r="18" spans="1:7" ht="15" customHeight="1">
      <c r="A18" s="524"/>
      <c r="B18" s="21" t="s">
        <v>40</v>
      </c>
      <c r="C18" s="266">
        <f>A.Reitoria!Q43+'A. DGBR'!Q38+'A. DGCE'!Q38+'A. DGES'!Q43+'A. DGRE'!Q38+'A. DGSS'!Q38</f>
        <v>0</v>
      </c>
      <c r="D18" s="22">
        <v>2700</v>
      </c>
      <c r="E18" s="437"/>
      <c r="F18" s="268">
        <f t="shared" si="0"/>
        <v>0</v>
      </c>
      <c r="G18" s="270">
        <v>0</v>
      </c>
    </row>
    <row r="19" spans="1:7" ht="15" customHeight="1">
      <c r="A19" s="524"/>
      <c r="B19" s="21" t="s">
        <v>41</v>
      </c>
      <c r="C19" s="266">
        <f>A.Reitoria!Q44+'A. DGBR'!Q39+'A. DGCE'!Q39+'A. DGES'!Q44+'A. DGRE'!Q39+'A. DGSS'!Q39</f>
        <v>3594</v>
      </c>
      <c r="D19" s="22">
        <v>2700</v>
      </c>
      <c r="E19" s="437"/>
      <c r="F19" s="268">
        <f t="shared" si="0"/>
        <v>1.3311111111111111</v>
      </c>
      <c r="G19" s="270">
        <v>0</v>
      </c>
    </row>
    <row r="20" spans="1:7" ht="15" customHeight="1">
      <c r="A20" s="525"/>
      <c r="B20" s="21" t="s">
        <v>437</v>
      </c>
      <c r="C20" s="266">
        <f>A.Reitoria!Q45+'A. DGBR'!Q40+'A. DGCE'!Q40+'A. DGES'!Q45+'A. DGRE'!Q40+'A. DGSS'!Q40</f>
        <v>22862.69</v>
      </c>
      <c r="D20" s="22">
        <v>100000</v>
      </c>
      <c r="E20" s="438"/>
      <c r="F20" s="268">
        <f t="shared" si="0"/>
        <v>0.22862689999999999</v>
      </c>
      <c r="G20" s="270">
        <v>0</v>
      </c>
    </row>
    <row r="21" spans="1:7" ht="15" customHeight="1">
      <c r="A21" s="562" t="s">
        <v>43</v>
      </c>
      <c r="B21" s="21" t="s">
        <v>44</v>
      </c>
      <c r="C21" s="266">
        <f>A.Reitoria!Q46+'A. DGBR'!Q41+'A. DGCE'!Q41+'A. DGES'!Q46+'A. DGRE'!Q41+'A. DGSS'!Q41</f>
        <v>0</v>
      </c>
      <c r="D21" s="22">
        <v>160</v>
      </c>
      <c r="E21" s="563">
        <f>SUM(C21:C23)</f>
        <v>7963.53</v>
      </c>
      <c r="F21" s="268">
        <f t="shared" ref="F21:F22" si="1">(C21*8)/(D21*1132.6)</f>
        <v>0</v>
      </c>
      <c r="G21" s="270">
        <v>0</v>
      </c>
    </row>
    <row r="22" spans="1:7" ht="15" customHeight="1">
      <c r="A22" s="524"/>
      <c r="B22" s="21" t="s">
        <v>45</v>
      </c>
      <c r="C22" s="266">
        <f>A.Reitoria!Q47+'A. DGBR'!Q42+'A. DGCE'!Q42+'A. DGES'!Q47+'A. DGRE'!Q42+'A. DGSS'!Q42</f>
        <v>3600.8199999999997</v>
      </c>
      <c r="D22" s="22">
        <v>380</v>
      </c>
      <c r="E22" s="437"/>
      <c r="F22" s="268">
        <f t="shared" si="1"/>
        <v>6.6931605899792745E-2</v>
      </c>
      <c r="G22" s="270">
        <v>0</v>
      </c>
    </row>
    <row r="23" spans="1:7" ht="15" customHeight="1">
      <c r="A23" s="525"/>
      <c r="B23" s="21" t="s">
        <v>46</v>
      </c>
      <c r="C23" s="266">
        <f>A.Reitoria!Q48+'A. DGBR'!Q43+'A. DGCE'!Q43+'A. DGES'!Q48+'A. DGRE'!Q43+'A. DGSS'!Q43</f>
        <v>4362.71</v>
      </c>
      <c r="D23" s="22">
        <v>380</v>
      </c>
      <c r="E23" s="438"/>
      <c r="F23" s="268">
        <f>(C23*16)/(D23*188.76)</f>
        <v>0.97315666789350996</v>
      </c>
      <c r="G23" s="270">
        <v>0</v>
      </c>
    </row>
    <row r="24" spans="1:7" ht="15" customHeight="1">
      <c r="A24" s="271" t="s">
        <v>47</v>
      </c>
      <c r="B24" s="21" t="s">
        <v>47</v>
      </c>
      <c r="C24" s="266">
        <f>A.Reitoria!Q49+'A. DGBR'!Q44+'A. DGCE'!Q44+'A. DGES'!Q49+'A. DGRE'!Q44+'A. DGSS'!Q44</f>
        <v>5319.6</v>
      </c>
      <c r="D24" s="22">
        <v>160</v>
      </c>
      <c r="E24" s="272">
        <f t="shared" ref="E24:E25" si="2">C24</f>
        <v>5319.6</v>
      </c>
      <c r="F24" s="268">
        <f>(C24*8)/(D24*1132.6)</f>
        <v>0.23484019071163695</v>
      </c>
      <c r="G24" s="270">
        <v>0</v>
      </c>
    </row>
    <row r="25" spans="1:7" ht="15" customHeight="1">
      <c r="A25" s="271" t="s">
        <v>48</v>
      </c>
      <c r="B25" s="21" t="s">
        <v>48</v>
      </c>
      <c r="C25" s="266">
        <f>A.Reitoria!Q50+'A. DGBR'!Q45+'A. DGCE'!Q45+'A. DGES'!Q50+'A. DGRE'!Q45+'A. DGSS'!Q45</f>
        <v>0</v>
      </c>
      <c r="D25" s="22">
        <v>450</v>
      </c>
      <c r="E25" s="272">
        <f t="shared" si="2"/>
        <v>0</v>
      </c>
      <c r="F25" s="268">
        <f>C25/D25</f>
        <v>0</v>
      </c>
      <c r="G25" s="270">
        <v>0</v>
      </c>
    </row>
    <row r="26" spans="1:7" ht="15" customHeight="1">
      <c r="A26" s="564" t="s">
        <v>15</v>
      </c>
      <c r="B26" s="565"/>
      <c r="C26" s="565"/>
      <c r="D26" s="566"/>
      <c r="E26" s="273">
        <f t="shared" ref="E26:G26" si="3">SUM(E5:E25)</f>
        <v>117912.54000000001</v>
      </c>
      <c r="F26" s="274">
        <f t="shared" si="3"/>
        <v>47.589640531171611</v>
      </c>
      <c r="G26" s="275">
        <f t="shared" si="3"/>
        <v>207.85000000000002</v>
      </c>
    </row>
    <row r="27" spans="1:7" ht="15" customHeight="1">
      <c r="A27" s="63"/>
      <c r="B27" s="68"/>
      <c r="C27" s="69"/>
      <c r="D27" s="70"/>
      <c r="E27" s="276"/>
      <c r="F27" s="65"/>
    </row>
    <row r="28" spans="1:7" ht="15" customHeight="1">
      <c r="A28" s="63"/>
      <c r="B28" s="64"/>
      <c r="C28" s="277"/>
      <c r="D28" s="278"/>
      <c r="E28" s="278" t="s">
        <v>49</v>
      </c>
      <c r="F28" s="279">
        <f>ROUND(F26,0)</f>
        <v>48</v>
      </c>
    </row>
    <row r="39" spans="8:8" ht="15" customHeight="1">
      <c r="H39" s="280"/>
    </row>
  </sheetData>
  <mergeCells count="15">
    <mergeCell ref="A21:A23"/>
    <mergeCell ref="E21:E23"/>
    <mergeCell ref="A26:D26"/>
    <mergeCell ref="A1:G1"/>
    <mergeCell ref="B2:B4"/>
    <mergeCell ref="C2:C4"/>
    <mergeCell ref="D2:D4"/>
    <mergeCell ref="E2:E4"/>
    <mergeCell ref="F2:F4"/>
    <mergeCell ref="G2:G4"/>
    <mergeCell ref="A2:A4"/>
    <mergeCell ref="A5:A14"/>
    <mergeCell ref="E5:E14"/>
    <mergeCell ref="A15:A20"/>
    <mergeCell ref="E15:E20"/>
  </mergeCells>
  <pageMargins left="0.39370078740157477" right="0.24202666775320622" top="0.18152000081490466" bottom="0.50742831674342603" header="0" footer="0"/>
  <pageSetup paperSize="9" pageOrder="overThenDown" orientation="portrait"/>
  <headerFooter>
    <oddHeader>&amp;CANEXO I - L  - ÁREA TOTAL (44h Segunda à Sexta)</oddHead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34A853"/>
    <outlinePr summaryBelow="0" summaryRight="0"/>
    <pageSetUpPr fitToPage="1"/>
  </sheetPr>
  <dimension ref="A1:X127"/>
  <sheetViews>
    <sheetView showGridLines="0" topLeftCell="A38" workbookViewId="0">
      <selection activeCell="H113" sqref="H113"/>
    </sheetView>
  </sheetViews>
  <sheetFormatPr defaultColWidth="14.42578125" defaultRowHeight="15" customHeight="1"/>
  <cols>
    <col min="1" max="1" width="23.7109375" customWidth="1"/>
    <col min="5" max="5" width="22.140625" customWidth="1"/>
    <col min="6" max="6" width="22.85546875" customWidth="1"/>
    <col min="7" max="7" width="15.5703125" customWidth="1"/>
    <col min="11" max="11" width="54.28515625" customWidth="1"/>
    <col min="12" max="12" width="22.85546875" customWidth="1"/>
    <col min="13" max="13" width="15.5703125" customWidth="1"/>
    <col min="15" max="15" width="37.140625" customWidth="1"/>
    <col min="16" max="16" width="51.42578125" customWidth="1"/>
    <col min="17" max="17" width="16.28515625" customWidth="1"/>
    <col min="18" max="18" width="28.42578125" customWidth="1"/>
    <col min="19" max="19" width="36.7109375" customWidth="1"/>
    <col min="20" max="20" width="36.42578125" customWidth="1"/>
    <col min="21" max="21" width="19.140625" customWidth="1"/>
    <col min="22" max="23" width="17.85546875" customWidth="1"/>
    <col min="24" max="24" width="5.140625" customWidth="1"/>
  </cols>
  <sheetData>
    <row r="1" spans="1:20">
      <c r="A1" s="580" t="s">
        <v>50</v>
      </c>
      <c r="B1" s="568"/>
      <c r="C1" s="568"/>
      <c r="D1" s="568"/>
      <c r="E1" s="568"/>
      <c r="F1" s="568"/>
      <c r="G1" s="569"/>
      <c r="I1" s="581" t="s">
        <v>50</v>
      </c>
      <c r="J1" s="430"/>
      <c r="K1" s="430"/>
      <c r="L1" s="430"/>
      <c r="M1" s="430"/>
      <c r="O1" s="582" t="s">
        <v>50</v>
      </c>
      <c r="P1" s="549"/>
      <c r="Q1" s="549"/>
      <c r="R1" s="549"/>
      <c r="S1" s="549"/>
      <c r="T1" s="583"/>
    </row>
    <row r="2" spans="1:20">
      <c r="A2" s="584" t="s">
        <v>59</v>
      </c>
      <c r="B2" s="434"/>
      <c r="C2" s="434"/>
      <c r="D2" s="434"/>
      <c r="E2" s="434"/>
      <c r="F2" s="434"/>
      <c r="G2" s="585"/>
      <c r="I2" s="586" t="s">
        <v>60</v>
      </c>
      <c r="J2" s="434"/>
      <c r="K2" s="434"/>
      <c r="L2" s="434"/>
      <c r="M2" s="435"/>
      <c r="O2" s="587" t="s">
        <v>61</v>
      </c>
      <c r="P2" s="434"/>
      <c r="Q2" s="434"/>
      <c r="R2" s="434"/>
      <c r="S2" s="434"/>
      <c r="T2" s="588"/>
    </row>
    <row r="3" spans="1:20">
      <c r="A3" s="281" t="s">
        <v>438</v>
      </c>
      <c r="B3" s="282" t="s">
        <v>439</v>
      </c>
      <c r="C3" s="282" t="s">
        <v>440</v>
      </c>
      <c r="D3" s="282" t="s">
        <v>441</v>
      </c>
      <c r="E3" s="282" t="s">
        <v>442</v>
      </c>
      <c r="F3" s="282" t="s">
        <v>443</v>
      </c>
      <c r="G3" s="283" t="s">
        <v>444</v>
      </c>
      <c r="I3" s="284" t="s">
        <v>445</v>
      </c>
      <c r="J3" s="285" t="s">
        <v>441</v>
      </c>
      <c r="K3" s="286" t="s">
        <v>442</v>
      </c>
      <c r="L3" s="282" t="s">
        <v>443</v>
      </c>
      <c r="M3" s="287" t="s">
        <v>444</v>
      </c>
      <c r="O3" s="288" t="s">
        <v>2</v>
      </c>
      <c r="P3" s="289" t="s">
        <v>446</v>
      </c>
      <c r="Q3" s="289" t="s">
        <v>447</v>
      </c>
      <c r="R3" s="290" t="s">
        <v>448</v>
      </c>
      <c r="S3" s="290" t="s">
        <v>449</v>
      </c>
      <c r="T3" s="291" t="s">
        <v>450</v>
      </c>
    </row>
    <row r="4" spans="1:20" ht="51">
      <c r="A4" s="292" t="s">
        <v>451</v>
      </c>
      <c r="B4" s="293" t="s">
        <v>452</v>
      </c>
      <c r="C4" s="294" t="s">
        <v>453</v>
      </c>
      <c r="D4" s="295">
        <v>123</v>
      </c>
      <c r="E4" s="270" t="s">
        <v>454</v>
      </c>
      <c r="F4" s="270">
        <v>800</v>
      </c>
      <c r="G4" s="296">
        <f t="shared" ref="G4:G13" si="0">D4/F4</f>
        <v>0.15375</v>
      </c>
      <c r="I4" s="294" t="s">
        <v>455</v>
      </c>
      <c r="J4" s="294">
        <v>93.38</v>
      </c>
      <c r="K4" s="270" t="s">
        <v>456</v>
      </c>
      <c r="L4" s="269">
        <f t="shared" ref="L4:L10" si="1">IF(K4="Pisos pavimentados adjacentes/contíguos às edificações",2700,IF(K4="Varrição de passeios e arruamentos",9000,IF(K4="Pátios e áreas verdes com alta frequência",2700,IF(K4="Pátios e áreas verdes com média frequência",2700,IF(K4="Pátios e áreas verdes com baixa frequência",2700,IF(K4="coleta de detritos em pátios e áreas verdes com frequência diária",100000,0))))))</f>
        <v>2700</v>
      </c>
      <c r="M4" s="269">
        <f t="shared" ref="M4:M10" si="2">J4/L4</f>
        <v>3.4585185185185184E-2</v>
      </c>
      <c r="O4" s="297" t="s">
        <v>457</v>
      </c>
      <c r="P4" s="298">
        <v>0</v>
      </c>
      <c r="Q4" s="270">
        <v>380</v>
      </c>
      <c r="R4" s="270">
        <v>8</v>
      </c>
      <c r="S4" s="299">
        <v>1132.5999999999999</v>
      </c>
      <c r="T4" s="300">
        <f>(P4*R4)/(Q4*S4)</f>
        <v>0</v>
      </c>
    </row>
    <row r="5" spans="1:20" ht="30">
      <c r="A5" s="292" t="s">
        <v>451</v>
      </c>
      <c r="B5" s="293" t="s">
        <v>452</v>
      </c>
      <c r="C5" s="301" t="s">
        <v>458</v>
      </c>
      <c r="D5" s="295">
        <v>37.67</v>
      </c>
      <c r="E5" s="270" t="s">
        <v>454</v>
      </c>
      <c r="F5" s="270">
        <v>800</v>
      </c>
      <c r="G5" s="296">
        <f t="shared" si="0"/>
        <v>4.7087500000000004E-2</v>
      </c>
      <c r="I5" s="294" t="s">
        <v>459</v>
      </c>
      <c r="J5" s="294">
        <v>12.78</v>
      </c>
      <c r="K5" s="270" t="s">
        <v>460</v>
      </c>
      <c r="L5" s="269">
        <f t="shared" si="1"/>
        <v>2700</v>
      </c>
      <c r="M5" s="269">
        <f t="shared" si="2"/>
        <v>4.7333333333333333E-3</v>
      </c>
      <c r="O5" s="288" t="s">
        <v>2</v>
      </c>
      <c r="P5" s="289" t="s">
        <v>446</v>
      </c>
      <c r="Q5" s="289" t="s">
        <v>447</v>
      </c>
      <c r="R5" s="302" t="s">
        <v>461</v>
      </c>
      <c r="S5" s="302" t="s">
        <v>462</v>
      </c>
      <c r="T5" s="291" t="s">
        <v>450</v>
      </c>
    </row>
    <row r="6" spans="1:20" ht="25.5">
      <c r="A6" s="292" t="s">
        <v>451</v>
      </c>
      <c r="B6" s="293" t="s">
        <v>452</v>
      </c>
      <c r="C6" s="301" t="s">
        <v>463</v>
      </c>
      <c r="D6" s="295">
        <v>22.66</v>
      </c>
      <c r="E6" s="270" t="s">
        <v>454</v>
      </c>
      <c r="F6" s="270">
        <v>800</v>
      </c>
      <c r="G6" s="296">
        <f t="shared" si="0"/>
        <v>2.8324999999999999E-2</v>
      </c>
      <c r="I6" s="294" t="s">
        <v>464</v>
      </c>
      <c r="J6" s="294">
        <v>12.74</v>
      </c>
      <c r="K6" s="270" t="s">
        <v>460</v>
      </c>
      <c r="L6" s="269">
        <f t="shared" si="1"/>
        <v>2700</v>
      </c>
      <c r="M6" s="269">
        <f t="shared" si="2"/>
        <v>4.7185185185185186E-3</v>
      </c>
      <c r="O6" s="297" t="s">
        <v>465</v>
      </c>
      <c r="P6" s="298">
        <v>761.89</v>
      </c>
      <c r="Q6" s="270">
        <v>380</v>
      </c>
      <c r="R6" s="270">
        <v>16</v>
      </c>
      <c r="S6" s="270">
        <v>188.76</v>
      </c>
      <c r="T6" s="300">
        <f>(P6*R6)/(Q6*S6)</f>
        <v>0.16994903023611158</v>
      </c>
    </row>
    <row r="7" spans="1:20" ht="25.5">
      <c r="A7" s="292" t="s">
        <v>451</v>
      </c>
      <c r="B7" s="293" t="s">
        <v>452</v>
      </c>
      <c r="C7" s="301" t="s">
        <v>466</v>
      </c>
      <c r="D7" s="295">
        <v>9.76</v>
      </c>
      <c r="E7" s="270" t="s">
        <v>467</v>
      </c>
      <c r="F7" s="270">
        <f>IF(E7="Pisos acarpetados",1200,IF(E7="Pisos frios",1200,IF(E7="Laboratórios",450,IF(E7="Almoxarifados/galpões",2500,IF(E7="Oficinas",1800,IF(E7="Áreas com espaços livres - saguão hall e salão",1500,IF(E7="Banheiros",300,0)))))))</f>
        <v>300</v>
      </c>
      <c r="G7" s="296">
        <f t="shared" si="0"/>
        <v>3.2533333333333331E-2</v>
      </c>
      <c r="I7" s="294" t="s">
        <v>468</v>
      </c>
      <c r="J7" s="294">
        <v>12.08</v>
      </c>
      <c r="K7" s="270" t="s">
        <v>460</v>
      </c>
      <c r="L7" s="269">
        <f t="shared" si="1"/>
        <v>2700</v>
      </c>
      <c r="M7" s="269">
        <f t="shared" si="2"/>
        <v>4.4740740740740739E-3</v>
      </c>
      <c r="O7" s="303" t="s">
        <v>15</v>
      </c>
      <c r="P7" s="304">
        <f>P6+P4</f>
        <v>761.89</v>
      </c>
      <c r="Q7" s="304"/>
      <c r="R7" s="304"/>
      <c r="S7" s="304"/>
      <c r="T7" s="305">
        <f>T6+T4</f>
        <v>0.16994903023611158</v>
      </c>
    </row>
    <row r="8" spans="1:20" ht="25.5">
      <c r="A8" s="292" t="s">
        <v>451</v>
      </c>
      <c r="B8" s="293" t="s">
        <v>452</v>
      </c>
      <c r="C8" s="301" t="s">
        <v>469</v>
      </c>
      <c r="D8" s="295">
        <v>13.91</v>
      </c>
      <c r="E8" s="270" t="s">
        <v>467</v>
      </c>
      <c r="F8" s="270">
        <v>200</v>
      </c>
      <c r="G8" s="296">
        <f t="shared" si="0"/>
        <v>6.9550000000000001E-2</v>
      </c>
      <c r="I8" s="294" t="s">
        <v>470</v>
      </c>
      <c r="J8" s="294">
        <v>12.11</v>
      </c>
      <c r="K8" s="270" t="s">
        <v>460</v>
      </c>
      <c r="L8" s="269">
        <f t="shared" si="1"/>
        <v>2700</v>
      </c>
      <c r="M8" s="269">
        <f t="shared" si="2"/>
        <v>4.4851851851851849E-3</v>
      </c>
    </row>
    <row r="9" spans="1:20" ht="63.75">
      <c r="A9" s="292" t="s">
        <v>451</v>
      </c>
      <c r="B9" s="293" t="s">
        <v>452</v>
      </c>
      <c r="C9" s="301" t="s">
        <v>471</v>
      </c>
      <c r="D9" s="295">
        <v>3.1</v>
      </c>
      <c r="E9" s="270" t="s">
        <v>467</v>
      </c>
      <c r="F9" s="270">
        <v>200</v>
      </c>
      <c r="G9" s="296">
        <f t="shared" si="0"/>
        <v>1.55E-2</v>
      </c>
      <c r="I9" s="294" t="s">
        <v>472</v>
      </c>
      <c r="J9" s="294">
        <v>340.24</v>
      </c>
      <c r="K9" s="270" t="s">
        <v>456</v>
      </c>
      <c r="L9" s="269">
        <f t="shared" si="1"/>
        <v>2700</v>
      </c>
      <c r="M9" s="269">
        <f t="shared" si="2"/>
        <v>0.12601481481481483</v>
      </c>
    </row>
    <row r="10" spans="1:20" ht="38.25">
      <c r="A10" s="292" t="s">
        <v>451</v>
      </c>
      <c r="B10" s="293" t="s">
        <v>452</v>
      </c>
      <c r="C10" s="301" t="s">
        <v>473</v>
      </c>
      <c r="D10" s="295">
        <v>10.11</v>
      </c>
      <c r="E10" s="270" t="s">
        <v>454</v>
      </c>
      <c r="F10" s="270">
        <v>800</v>
      </c>
      <c r="G10" s="296">
        <f t="shared" si="0"/>
        <v>1.2637499999999999E-2</v>
      </c>
      <c r="I10" s="306" t="s">
        <v>474</v>
      </c>
      <c r="J10" s="270">
        <v>467.68</v>
      </c>
      <c r="K10" s="270" t="s">
        <v>475</v>
      </c>
      <c r="L10" s="269">
        <f t="shared" si="1"/>
        <v>9000</v>
      </c>
      <c r="M10" s="269">
        <f t="shared" si="2"/>
        <v>5.1964444444444445E-2</v>
      </c>
      <c r="O10" s="589" t="s">
        <v>50</v>
      </c>
      <c r="P10" s="568"/>
      <c r="Q10" s="568"/>
      <c r="R10" s="568"/>
      <c r="S10" s="568"/>
      <c r="T10" s="569"/>
    </row>
    <row r="11" spans="1:20" ht="25.5">
      <c r="A11" s="292" t="s">
        <v>451</v>
      </c>
      <c r="B11" s="293" t="s">
        <v>452</v>
      </c>
      <c r="C11" s="301" t="s">
        <v>476</v>
      </c>
      <c r="D11" s="295">
        <v>13.04</v>
      </c>
      <c r="E11" s="270" t="s">
        <v>454</v>
      </c>
      <c r="F11" s="270">
        <v>800</v>
      </c>
      <c r="G11" s="296">
        <f t="shared" si="0"/>
        <v>1.6299999999999999E-2</v>
      </c>
      <c r="I11" s="307" t="s">
        <v>15</v>
      </c>
      <c r="J11" s="308">
        <f>SUM(J4:J10)</f>
        <v>951.01</v>
      </c>
      <c r="K11" s="308"/>
      <c r="L11" s="308"/>
      <c r="M11" s="308">
        <f>SUM(M4:M10)</f>
        <v>0.23097555555555557</v>
      </c>
      <c r="O11" s="593" t="s">
        <v>62</v>
      </c>
      <c r="P11" s="434"/>
      <c r="Q11" s="434"/>
      <c r="R11" s="434"/>
      <c r="S11" s="434"/>
      <c r="T11" s="585"/>
    </row>
    <row r="12" spans="1:20" ht="38.25">
      <c r="A12" s="292" t="s">
        <v>451</v>
      </c>
      <c r="B12" s="293" t="s">
        <v>452</v>
      </c>
      <c r="C12" s="301" t="s">
        <v>477</v>
      </c>
      <c r="D12" s="295">
        <v>19.79</v>
      </c>
      <c r="E12" s="270" t="s">
        <v>454</v>
      </c>
      <c r="F12" s="270">
        <v>800</v>
      </c>
      <c r="G12" s="296">
        <f t="shared" si="0"/>
        <v>2.4737499999999999E-2</v>
      </c>
      <c r="I12" s="309"/>
      <c r="J12" s="310"/>
      <c r="K12" s="310"/>
      <c r="L12" s="311"/>
      <c r="M12" s="311"/>
      <c r="O12" s="312" t="s">
        <v>2</v>
      </c>
      <c r="P12" s="289" t="s">
        <v>446</v>
      </c>
      <c r="Q12" s="289" t="s">
        <v>447</v>
      </c>
      <c r="R12" s="302" t="s">
        <v>448</v>
      </c>
      <c r="S12" s="302" t="s">
        <v>449</v>
      </c>
      <c r="T12" s="313" t="s">
        <v>478</v>
      </c>
    </row>
    <row r="13" spans="1:20" ht="12.75">
      <c r="A13" s="292" t="s">
        <v>451</v>
      </c>
      <c r="B13" s="293" t="s">
        <v>452</v>
      </c>
      <c r="C13" s="301" t="s">
        <v>479</v>
      </c>
      <c r="D13" s="295">
        <v>499.83</v>
      </c>
      <c r="E13" s="270" t="s">
        <v>454</v>
      </c>
      <c r="F13" s="270">
        <v>800</v>
      </c>
      <c r="G13" s="296">
        <f t="shared" si="0"/>
        <v>0.62478749999999994</v>
      </c>
      <c r="I13" s="309"/>
      <c r="J13" s="310"/>
      <c r="K13" s="310"/>
      <c r="L13" s="311"/>
      <c r="M13" s="311"/>
      <c r="O13" s="270" t="s">
        <v>47</v>
      </c>
      <c r="P13" s="298"/>
      <c r="Q13" s="270">
        <v>160</v>
      </c>
      <c r="R13" s="270">
        <v>8</v>
      </c>
      <c r="S13" s="299">
        <v>1132.5999999999999</v>
      </c>
      <c r="T13" s="269">
        <f t="shared" ref="T13:T14" si="3">(P13*R13)/(Q13*S13)</f>
        <v>0</v>
      </c>
    </row>
    <row r="14" spans="1:20" ht="25.5">
      <c r="A14" s="292"/>
      <c r="B14" s="301"/>
      <c r="C14" s="301"/>
      <c r="D14" s="295"/>
      <c r="E14" s="270"/>
      <c r="F14" s="270"/>
      <c r="G14" s="296"/>
      <c r="I14" s="309"/>
      <c r="J14" s="310"/>
      <c r="K14" s="310"/>
      <c r="L14" s="311"/>
      <c r="M14" s="311"/>
      <c r="O14" s="314" t="s">
        <v>480</v>
      </c>
      <c r="P14" s="298">
        <v>0</v>
      </c>
      <c r="Q14" s="270">
        <v>160</v>
      </c>
      <c r="R14" s="270">
        <v>8</v>
      </c>
      <c r="S14" s="299">
        <v>1132.5999999999999</v>
      </c>
      <c r="T14" s="269">
        <f t="shared" si="3"/>
        <v>0</v>
      </c>
    </row>
    <row r="15" spans="1:20" ht="25.5">
      <c r="A15" s="292" t="s">
        <v>451</v>
      </c>
      <c r="B15" s="301" t="s">
        <v>481</v>
      </c>
      <c r="C15" s="301" t="s">
        <v>469</v>
      </c>
      <c r="D15" s="295">
        <v>11.22</v>
      </c>
      <c r="E15" s="270" t="s">
        <v>467</v>
      </c>
      <c r="F15" s="270">
        <v>200</v>
      </c>
      <c r="G15" s="296">
        <f t="shared" ref="G15:G34" si="4">D15/F15</f>
        <v>5.6100000000000004E-2</v>
      </c>
      <c r="I15" s="309"/>
      <c r="J15" s="310"/>
      <c r="K15" s="310"/>
      <c r="L15" s="311"/>
      <c r="M15" s="311"/>
      <c r="O15" s="303" t="s">
        <v>15</v>
      </c>
      <c r="P15" s="304">
        <f>SUM(P13:P14)</f>
        <v>0</v>
      </c>
      <c r="Q15" s="304"/>
      <c r="R15" s="304"/>
      <c r="S15" s="304"/>
      <c r="T15" s="305">
        <f>SUM(T13:T14)</f>
        <v>0</v>
      </c>
    </row>
    <row r="16" spans="1:20" ht="25.5">
      <c r="A16" s="292" t="s">
        <v>451</v>
      </c>
      <c r="B16" s="301" t="s">
        <v>481</v>
      </c>
      <c r="C16" s="301" t="s">
        <v>466</v>
      </c>
      <c r="D16" s="295">
        <v>11.66</v>
      </c>
      <c r="E16" s="270" t="s">
        <v>467</v>
      </c>
      <c r="F16" s="270">
        <v>200</v>
      </c>
      <c r="G16" s="296">
        <f t="shared" si="4"/>
        <v>5.8299999999999998E-2</v>
      </c>
      <c r="I16" s="309"/>
      <c r="J16" s="310"/>
      <c r="K16" s="310"/>
      <c r="L16" s="311"/>
      <c r="M16" s="311"/>
    </row>
    <row r="17" spans="1:20">
      <c r="A17" s="292" t="s">
        <v>451</v>
      </c>
      <c r="B17" s="301" t="s">
        <v>481</v>
      </c>
      <c r="C17" s="301" t="s">
        <v>482</v>
      </c>
      <c r="D17" s="295">
        <v>12.77</v>
      </c>
      <c r="E17" s="270" t="s">
        <v>454</v>
      </c>
      <c r="F17" s="270">
        <v>800</v>
      </c>
      <c r="G17" s="296">
        <f t="shared" si="4"/>
        <v>1.5962500000000001E-2</v>
      </c>
      <c r="I17" s="309"/>
      <c r="J17" s="315"/>
      <c r="K17" s="311"/>
      <c r="L17" s="311"/>
      <c r="M17" s="311"/>
      <c r="T17" s="316"/>
    </row>
    <row r="18" spans="1:20">
      <c r="A18" s="292" t="s">
        <v>451</v>
      </c>
      <c r="B18" s="301" t="s">
        <v>481</v>
      </c>
      <c r="C18" s="301" t="s">
        <v>479</v>
      </c>
      <c r="D18" s="295">
        <v>166.76</v>
      </c>
      <c r="E18" s="270" t="s">
        <v>454</v>
      </c>
      <c r="F18" s="270">
        <v>800</v>
      </c>
      <c r="G18" s="296">
        <f t="shared" si="4"/>
        <v>0.20845</v>
      </c>
      <c r="I18" s="309"/>
      <c r="J18" s="315"/>
      <c r="K18" s="311"/>
      <c r="L18" s="311"/>
      <c r="M18" s="311"/>
      <c r="T18" s="317"/>
    </row>
    <row r="19" spans="1:20" ht="38.25">
      <c r="A19" s="292" t="s">
        <v>451</v>
      </c>
      <c r="B19" s="301" t="s">
        <v>483</v>
      </c>
      <c r="C19" s="301" t="s">
        <v>484</v>
      </c>
      <c r="D19" s="318">
        <v>46.5</v>
      </c>
      <c r="E19" s="270" t="s">
        <v>454</v>
      </c>
      <c r="F19" s="270">
        <v>800</v>
      </c>
      <c r="G19" s="296">
        <f t="shared" si="4"/>
        <v>5.8125000000000003E-2</v>
      </c>
      <c r="I19" s="309"/>
      <c r="J19" s="315"/>
      <c r="K19" s="311"/>
      <c r="L19" s="311"/>
      <c r="M19" s="311"/>
      <c r="O19" s="567" t="s">
        <v>50</v>
      </c>
      <c r="P19" s="568"/>
      <c r="Q19" s="568"/>
      <c r="R19" s="568"/>
      <c r="S19" s="569"/>
      <c r="T19" s="319"/>
    </row>
    <row r="20" spans="1:20" ht="12.75">
      <c r="A20" s="292" t="s">
        <v>451</v>
      </c>
      <c r="B20" s="301" t="s">
        <v>483</v>
      </c>
      <c r="C20" s="301" t="s">
        <v>485</v>
      </c>
      <c r="D20" s="318">
        <v>18.59</v>
      </c>
      <c r="E20" s="270" t="s">
        <v>454</v>
      </c>
      <c r="F20" s="270">
        <v>800</v>
      </c>
      <c r="G20" s="296">
        <f t="shared" si="4"/>
        <v>2.3237500000000001E-2</v>
      </c>
      <c r="I20" s="309"/>
      <c r="J20" s="315"/>
      <c r="K20" s="311"/>
      <c r="L20" s="311"/>
      <c r="M20" s="311"/>
      <c r="O20" s="594" t="s">
        <v>63</v>
      </c>
      <c r="P20" s="434"/>
      <c r="Q20" s="434"/>
      <c r="R20" s="434"/>
      <c r="S20" s="585"/>
      <c r="T20" s="67"/>
    </row>
    <row r="21" spans="1:20" ht="12.75">
      <c r="A21" s="292" t="s">
        <v>451</v>
      </c>
      <c r="B21" s="301" t="s">
        <v>483</v>
      </c>
      <c r="C21" s="301" t="s">
        <v>486</v>
      </c>
      <c r="D21" s="318">
        <v>25.2</v>
      </c>
      <c r="E21" s="270" t="s">
        <v>454</v>
      </c>
      <c r="F21" s="270">
        <v>800</v>
      </c>
      <c r="G21" s="296">
        <f t="shared" si="4"/>
        <v>3.15E-2</v>
      </c>
      <c r="I21" s="309"/>
      <c r="J21" s="315"/>
      <c r="K21" s="311"/>
      <c r="L21" s="311"/>
      <c r="M21" s="311"/>
      <c r="O21" s="320" t="s">
        <v>445</v>
      </c>
      <c r="P21" s="321" t="s">
        <v>441</v>
      </c>
      <c r="Q21" s="282" t="s">
        <v>442</v>
      </c>
      <c r="R21" s="282" t="s">
        <v>443</v>
      </c>
      <c r="S21" s="283" t="s">
        <v>444</v>
      </c>
    </row>
    <row r="22" spans="1:20" ht="25.5">
      <c r="A22" s="292" t="s">
        <v>451</v>
      </c>
      <c r="B22" s="301" t="s">
        <v>483</v>
      </c>
      <c r="C22" s="301" t="s">
        <v>487</v>
      </c>
      <c r="D22" s="318">
        <v>24.91</v>
      </c>
      <c r="E22" s="270" t="s">
        <v>454</v>
      </c>
      <c r="F22" s="270">
        <v>800</v>
      </c>
      <c r="G22" s="296">
        <f t="shared" si="4"/>
        <v>3.1137499999999999E-2</v>
      </c>
      <c r="I22" s="309"/>
      <c r="J22" s="315"/>
      <c r="K22" s="311"/>
      <c r="L22" s="311"/>
      <c r="M22" s="311"/>
      <c r="O22" s="322"/>
      <c r="P22" s="323">
        <v>0</v>
      </c>
      <c r="Q22" s="324" t="s">
        <v>48</v>
      </c>
      <c r="R22" s="82">
        <v>450</v>
      </c>
      <c r="S22" s="325">
        <f>P22/R22</f>
        <v>0</v>
      </c>
    </row>
    <row r="23" spans="1:20" ht="12.75">
      <c r="A23" s="292" t="s">
        <v>451</v>
      </c>
      <c r="B23" s="301" t="s">
        <v>483</v>
      </c>
      <c r="C23" s="294" t="s">
        <v>488</v>
      </c>
      <c r="D23" s="318">
        <v>52.76</v>
      </c>
      <c r="E23" s="270" t="s">
        <v>489</v>
      </c>
      <c r="F23" s="270">
        <f>IF(E23="Pisos acarpetados",1200,IF(E23="Pisos frios",1200,IF(E23="Laboratórios",450,IF(E23="Almoxarifados/galpões",2500,IF(E23="Oficinas",1800,IF(E23="Áreas com espaços livres - saguão hall e salão",1500,IF(E23="Banheiros",300,0)))))))</f>
        <v>2500</v>
      </c>
      <c r="G23" s="296">
        <f t="shared" si="4"/>
        <v>2.1103999999999998E-2</v>
      </c>
      <c r="I23" s="309"/>
      <c r="J23" s="315"/>
      <c r="K23" s="311"/>
      <c r="L23" s="311"/>
      <c r="M23" s="311"/>
    </row>
    <row r="24" spans="1:20" ht="12.75">
      <c r="A24" s="292" t="s">
        <v>451</v>
      </c>
      <c r="B24" s="301" t="s">
        <v>483</v>
      </c>
      <c r="C24" s="301" t="s">
        <v>490</v>
      </c>
      <c r="D24" s="318">
        <v>2.19</v>
      </c>
      <c r="E24" s="270" t="s">
        <v>467</v>
      </c>
      <c r="F24" s="270">
        <v>200</v>
      </c>
      <c r="G24" s="296">
        <f t="shared" si="4"/>
        <v>1.095E-2</v>
      </c>
      <c r="I24" s="309"/>
      <c r="J24" s="315"/>
      <c r="K24" s="311"/>
      <c r="L24" s="311"/>
      <c r="M24" s="311"/>
      <c r="O24" s="575"/>
      <c r="P24" s="461"/>
      <c r="Q24" s="461"/>
      <c r="R24" s="461"/>
      <c r="S24" s="461"/>
      <c r="T24" s="461"/>
    </row>
    <row r="25" spans="1:20" ht="25.5">
      <c r="A25" s="292" t="s">
        <v>451</v>
      </c>
      <c r="B25" s="301" t="s">
        <v>483</v>
      </c>
      <c r="C25" s="301" t="s">
        <v>469</v>
      </c>
      <c r="D25" s="318">
        <v>9.5500000000000007</v>
      </c>
      <c r="E25" s="270" t="s">
        <v>467</v>
      </c>
      <c r="F25" s="270">
        <v>200</v>
      </c>
      <c r="G25" s="296">
        <f t="shared" si="4"/>
        <v>4.7750000000000001E-2</v>
      </c>
      <c r="I25" s="309"/>
      <c r="J25" s="315"/>
      <c r="K25" s="311"/>
      <c r="L25" s="311"/>
      <c r="M25" s="311"/>
      <c r="O25" s="567" t="s">
        <v>50</v>
      </c>
      <c r="P25" s="568"/>
      <c r="Q25" s="568"/>
      <c r="R25" s="568"/>
      <c r="S25" s="568"/>
      <c r="T25" s="569"/>
    </row>
    <row r="26" spans="1:20" ht="25.5">
      <c r="A26" s="292" t="s">
        <v>451</v>
      </c>
      <c r="B26" s="301" t="s">
        <v>483</v>
      </c>
      <c r="C26" s="301" t="s">
        <v>491</v>
      </c>
      <c r="D26" s="318">
        <v>3.5</v>
      </c>
      <c r="E26" s="270" t="s">
        <v>467</v>
      </c>
      <c r="F26" s="270">
        <v>200</v>
      </c>
      <c r="G26" s="296">
        <f t="shared" si="4"/>
        <v>1.7500000000000002E-2</v>
      </c>
      <c r="I26" s="309"/>
      <c r="J26" s="315"/>
      <c r="K26" s="311"/>
      <c r="L26" s="311"/>
      <c r="M26" s="311"/>
      <c r="O26" s="595" t="s">
        <v>17</v>
      </c>
      <c r="P26" s="596" t="s">
        <v>2</v>
      </c>
      <c r="Q26" s="590" t="s">
        <v>435</v>
      </c>
      <c r="R26" s="599" t="s">
        <v>18</v>
      </c>
      <c r="S26" s="590" t="s">
        <v>21</v>
      </c>
      <c r="T26" s="591" t="s">
        <v>22</v>
      </c>
    </row>
    <row r="27" spans="1:20" ht="25.5">
      <c r="A27" s="292" t="s">
        <v>451</v>
      </c>
      <c r="B27" s="301" t="s">
        <v>483</v>
      </c>
      <c r="C27" s="301" t="s">
        <v>466</v>
      </c>
      <c r="D27" s="318">
        <v>8.83</v>
      </c>
      <c r="E27" s="270" t="s">
        <v>467</v>
      </c>
      <c r="F27" s="270">
        <v>200</v>
      </c>
      <c r="G27" s="296">
        <f t="shared" si="4"/>
        <v>4.4150000000000002E-2</v>
      </c>
      <c r="I27" s="309"/>
      <c r="J27" s="315"/>
      <c r="K27" s="311"/>
      <c r="L27" s="311"/>
      <c r="M27" s="311"/>
      <c r="O27" s="524"/>
      <c r="P27" s="437"/>
      <c r="Q27" s="513"/>
      <c r="R27" s="437"/>
      <c r="S27" s="513"/>
      <c r="T27" s="526"/>
    </row>
    <row r="28" spans="1:20" ht="38.25">
      <c r="A28" s="292" t="s">
        <v>451</v>
      </c>
      <c r="B28" s="301" t="s">
        <v>483</v>
      </c>
      <c r="C28" s="301" t="s">
        <v>492</v>
      </c>
      <c r="D28" s="318">
        <v>1.82</v>
      </c>
      <c r="E28" s="270" t="s">
        <v>454</v>
      </c>
      <c r="F28" s="270">
        <v>800</v>
      </c>
      <c r="G28" s="296">
        <f t="shared" si="4"/>
        <v>2.2750000000000001E-3</v>
      </c>
      <c r="I28" s="309"/>
      <c r="J28" s="315"/>
      <c r="K28" s="311"/>
      <c r="L28" s="311"/>
      <c r="M28" s="311"/>
      <c r="O28" s="525"/>
      <c r="P28" s="438"/>
      <c r="Q28" s="431"/>
      <c r="R28" s="438"/>
      <c r="S28" s="431"/>
      <c r="T28" s="527"/>
    </row>
    <row r="29" spans="1:20" ht="12.75">
      <c r="A29" s="292" t="s">
        <v>451</v>
      </c>
      <c r="B29" s="301" t="s">
        <v>483</v>
      </c>
      <c r="C29" s="301" t="s">
        <v>493</v>
      </c>
      <c r="D29" s="318">
        <v>6.09</v>
      </c>
      <c r="E29" s="270" t="s">
        <v>454</v>
      </c>
      <c r="F29" s="270">
        <v>800</v>
      </c>
      <c r="G29" s="296">
        <f t="shared" si="4"/>
        <v>7.6124999999999995E-3</v>
      </c>
      <c r="I29" s="309"/>
      <c r="J29" s="315"/>
      <c r="K29" s="311"/>
      <c r="L29" s="311"/>
      <c r="M29" s="311"/>
      <c r="O29" s="600" t="s">
        <v>25</v>
      </c>
      <c r="P29" s="326" t="s">
        <v>26</v>
      </c>
      <c r="Q29" s="39">
        <f>SUMIF(E4:E126,"Pisos acarpetados",D4:D126)</f>
        <v>0</v>
      </c>
      <c r="R29" s="55">
        <v>1200</v>
      </c>
      <c r="S29" s="597">
        <f>SUM(Q29:Q39)</f>
        <v>3605.0800000000008</v>
      </c>
      <c r="T29" s="327">
        <f t="shared" ref="T29:T32" si="5">Q29/R29</f>
        <v>0</v>
      </c>
    </row>
    <row r="30" spans="1:20" ht="25.5">
      <c r="A30" s="292" t="s">
        <v>451</v>
      </c>
      <c r="B30" s="301" t="s">
        <v>483</v>
      </c>
      <c r="C30" s="301" t="s">
        <v>494</v>
      </c>
      <c r="D30" s="318">
        <v>2.15</v>
      </c>
      <c r="E30" s="270" t="s">
        <v>454</v>
      </c>
      <c r="F30" s="270">
        <v>800</v>
      </c>
      <c r="G30" s="296">
        <f t="shared" si="4"/>
        <v>2.6874999999999998E-3</v>
      </c>
      <c r="I30" s="309"/>
      <c r="J30" s="315"/>
      <c r="K30" s="311"/>
      <c r="L30" s="311"/>
      <c r="M30" s="311"/>
      <c r="O30" s="524"/>
      <c r="P30" s="326" t="s">
        <v>27</v>
      </c>
      <c r="Q30" s="266">
        <f>SUMIFS(D4:D126,E4:E126,"Pisos frios",F4:F126,"800")</f>
        <v>1180.3500000000004</v>
      </c>
      <c r="R30" s="55">
        <v>800</v>
      </c>
      <c r="S30" s="437"/>
      <c r="T30" s="328">
        <f t="shared" si="5"/>
        <v>1.4754375000000004</v>
      </c>
    </row>
    <row r="31" spans="1:20" ht="25.5">
      <c r="A31" s="292" t="s">
        <v>451</v>
      </c>
      <c r="B31" s="301" t="s">
        <v>483</v>
      </c>
      <c r="C31" s="301" t="s">
        <v>495</v>
      </c>
      <c r="D31" s="318">
        <v>10.75</v>
      </c>
      <c r="E31" s="270" t="s">
        <v>454</v>
      </c>
      <c r="F31" s="270">
        <v>800</v>
      </c>
      <c r="G31" s="296">
        <f t="shared" si="4"/>
        <v>1.34375E-2</v>
      </c>
      <c r="I31" s="309"/>
      <c r="J31" s="315"/>
      <c r="K31" s="311"/>
      <c r="L31" s="311"/>
      <c r="M31" s="311"/>
      <c r="O31" s="524"/>
      <c r="P31" s="326" t="s">
        <v>28</v>
      </c>
      <c r="Q31" s="266">
        <f>SUMIFS(D4:D126,E4:E126,"Pisos frios",F4:F126,"1000")</f>
        <v>2184.88</v>
      </c>
      <c r="R31" s="55">
        <v>1000</v>
      </c>
      <c r="S31" s="437"/>
      <c r="T31" s="328">
        <f t="shared" si="5"/>
        <v>2.1848800000000002</v>
      </c>
    </row>
    <row r="32" spans="1:20" ht="12.75">
      <c r="A32" s="292" t="s">
        <v>451</v>
      </c>
      <c r="B32" s="301" t="s">
        <v>483</v>
      </c>
      <c r="C32" s="301" t="s">
        <v>496</v>
      </c>
      <c r="D32" s="318">
        <v>16.66</v>
      </c>
      <c r="E32" s="270" t="s">
        <v>454</v>
      </c>
      <c r="F32" s="270">
        <v>800</v>
      </c>
      <c r="G32" s="296">
        <f t="shared" si="4"/>
        <v>2.0825E-2</v>
      </c>
      <c r="I32" s="309"/>
      <c r="J32" s="315"/>
      <c r="K32" s="311"/>
      <c r="L32" s="311"/>
      <c r="M32" s="311"/>
      <c r="O32" s="524"/>
      <c r="P32" s="601" t="s">
        <v>29</v>
      </c>
      <c r="Q32" s="602">
        <f>SUMIFS(D4:D126,E4:E126,"Pisos frios",F4:F126,"1200")</f>
        <v>0</v>
      </c>
      <c r="R32" s="603">
        <v>1200</v>
      </c>
      <c r="S32" s="437"/>
      <c r="T32" s="592">
        <f t="shared" si="5"/>
        <v>0</v>
      </c>
    </row>
    <row r="33" spans="1:22" ht="12.75">
      <c r="A33" s="292" t="s">
        <v>451</v>
      </c>
      <c r="B33" s="301" t="s">
        <v>483</v>
      </c>
      <c r="C33" s="301" t="s">
        <v>497</v>
      </c>
      <c r="D33" s="318">
        <v>1.8</v>
      </c>
      <c r="E33" s="270" t="s">
        <v>489</v>
      </c>
      <c r="F33" s="270">
        <f t="shared" ref="F33:F35" si="6">IF(E33="Pisos acarpetados",1200,IF(E33="Pisos frios",1200,IF(E33="Laboratórios",450,IF(E33="Almoxarifados/galpões",2500,IF(E33="Oficinas",1800,IF(E33="Áreas com espaços livres - saguão hall e salão",1500,IF(E33="Banheiros",300,0)))))))</f>
        <v>2500</v>
      </c>
      <c r="G33" s="296">
        <f t="shared" si="4"/>
        <v>7.2000000000000005E-4</v>
      </c>
      <c r="I33" s="309"/>
      <c r="J33" s="315"/>
      <c r="K33" s="311"/>
      <c r="L33" s="311"/>
      <c r="M33" s="311"/>
      <c r="O33" s="524"/>
      <c r="P33" s="438"/>
      <c r="Q33" s="438"/>
      <c r="R33" s="438"/>
      <c r="S33" s="437"/>
      <c r="T33" s="527"/>
    </row>
    <row r="34" spans="1:22" ht="12.75">
      <c r="A34" s="292" t="s">
        <v>451</v>
      </c>
      <c r="B34" s="301" t="s">
        <v>483</v>
      </c>
      <c r="C34" s="301" t="s">
        <v>498</v>
      </c>
      <c r="D34" s="318">
        <v>2.02</v>
      </c>
      <c r="E34" s="270" t="s">
        <v>489</v>
      </c>
      <c r="F34" s="270">
        <f t="shared" si="6"/>
        <v>2500</v>
      </c>
      <c r="G34" s="296">
        <f t="shared" si="4"/>
        <v>8.0800000000000002E-4</v>
      </c>
      <c r="I34" s="309"/>
      <c r="J34" s="315"/>
      <c r="K34" s="311"/>
      <c r="L34" s="311"/>
      <c r="M34" s="311"/>
      <c r="O34" s="524"/>
      <c r="P34" s="21" t="s">
        <v>30</v>
      </c>
      <c r="Q34" s="266">
        <f>SUMIF(H108:H297,"Laboratórios",G108:G297)</f>
        <v>0</v>
      </c>
      <c r="R34" s="27">
        <v>450</v>
      </c>
      <c r="S34" s="437"/>
      <c r="T34" s="328">
        <f t="shared" ref="T34:T45" si="7">Q34/R34</f>
        <v>0</v>
      </c>
    </row>
    <row r="35" spans="1:22" ht="12.75">
      <c r="A35" s="329"/>
      <c r="B35" s="330"/>
      <c r="C35" s="330"/>
      <c r="D35" s="331"/>
      <c r="E35" s="270"/>
      <c r="F35" s="270">
        <f t="shared" si="6"/>
        <v>0</v>
      </c>
      <c r="G35" s="296"/>
      <c r="I35" s="309"/>
      <c r="J35" s="315"/>
      <c r="K35" s="311"/>
      <c r="L35" s="311"/>
      <c r="M35" s="311"/>
      <c r="O35" s="524"/>
      <c r="P35" s="21" t="s">
        <v>31</v>
      </c>
      <c r="Q35" s="266">
        <f>SUMIF(E4:E126,"Almoxarifados/galpões",D4:D126)</f>
        <v>75.05</v>
      </c>
      <c r="R35" s="22">
        <v>2500</v>
      </c>
      <c r="S35" s="437"/>
      <c r="T35" s="328">
        <f t="shared" si="7"/>
        <v>3.0019999999999998E-2</v>
      </c>
    </row>
    <row r="36" spans="1:22" ht="38.25">
      <c r="A36" s="292" t="s">
        <v>451</v>
      </c>
      <c r="B36" s="301" t="s">
        <v>483</v>
      </c>
      <c r="C36" s="301" t="s">
        <v>499</v>
      </c>
      <c r="D36" s="318">
        <v>2.91</v>
      </c>
      <c r="E36" s="270" t="s">
        <v>454</v>
      </c>
      <c r="F36" s="270">
        <v>800</v>
      </c>
      <c r="G36" s="296">
        <f t="shared" ref="G36:G124" si="8">D36/F36</f>
        <v>3.6375000000000001E-3</v>
      </c>
      <c r="I36" s="309"/>
      <c r="J36" s="315"/>
      <c r="K36" s="311"/>
      <c r="L36" s="311"/>
      <c r="M36" s="311"/>
      <c r="O36" s="524"/>
      <c r="P36" s="21" t="s">
        <v>32</v>
      </c>
      <c r="Q36" s="266">
        <f>SUMIF(E4:E126,"Oficinas",D4:D126)</f>
        <v>0</v>
      </c>
      <c r="R36" s="22">
        <v>1800</v>
      </c>
      <c r="S36" s="437"/>
      <c r="T36" s="328">
        <f t="shared" si="7"/>
        <v>0</v>
      </c>
    </row>
    <row r="37" spans="1:22" ht="38.25">
      <c r="A37" s="292" t="s">
        <v>451</v>
      </c>
      <c r="B37" s="301" t="s">
        <v>483</v>
      </c>
      <c r="C37" s="301" t="s">
        <v>500</v>
      </c>
      <c r="D37" s="318">
        <v>3.22</v>
      </c>
      <c r="E37" s="270" t="s">
        <v>454</v>
      </c>
      <c r="F37" s="270">
        <v>800</v>
      </c>
      <c r="G37" s="296">
        <f t="shared" si="8"/>
        <v>4.0249999999999999E-3</v>
      </c>
      <c r="I37" s="309"/>
      <c r="J37" s="315"/>
      <c r="K37" s="311"/>
      <c r="L37" s="311"/>
      <c r="M37" s="311"/>
      <c r="O37" s="524"/>
      <c r="P37" s="21" t="s">
        <v>33</v>
      </c>
      <c r="Q37" s="266">
        <f>SUMIF(E4:E126,"Áreas com espaços livres - saguão hall e salão",D4:D126)</f>
        <v>0</v>
      </c>
      <c r="R37" s="22">
        <v>1500</v>
      </c>
      <c r="S37" s="437"/>
      <c r="T37" s="328">
        <f t="shared" si="7"/>
        <v>0</v>
      </c>
    </row>
    <row r="38" spans="1:22" ht="25.5">
      <c r="A38" s="292" t="s">
        <v>451</v>
      </c>
      <c r="B38" s="301" t="s">
        <v>483</v>
      </c>
      <c r="C38" s="301" t="s">
        <v>501</v>
      </c>
      <c r="D38" s="318">
        <v>115.92</v>
      </c>
      <c r="E38" s="270" t="s">
        <v>454</v>
      </c>
      <c r="F38" s="270">
        <v>800</v>
      </c>
      <c r="G38" s="296">
        <f t="shared" si="8"/>
        <v>0.1449</v>
      </c>
      <c r="I38" s="309"/>
      <c r="J38" s="315"/>
      <c r="K38" s="311"/>
      <c r="L38" s="311"/>
      <c r="M38" s="311"/>
      <c r="O38" s="524"/>
      <c r="P38" s="21" t="s">
        <v>34</v>
      </c>
      <c r="Q38" s="266">
        <f>SUMIFS(D4:D126,E4:E126,"Banheiros",F4:F126,"200")</f>
        <v>63.959999999999994</v>
      </c>
      <c r="R38" s="27">
        <v>200</v>
      </c>
      <c r="S38" s="437"/>
      <c r="T38" s="328">
        <f t="shared" si="7"/>
        <v>0.31979999999999997</v>
      </c>
    </row>
    <row r="39" spans="1:22" ht="12.75">
      <c r="A39" s="292" t="s">
        <v>451</v>
      </c>
      <c r="B39" s="301" t="s">
        <v>502</v>
      </c>
      <c r="C39" s="301" t="s">
        <v>503</v>
      </c>
      <c r="D39" s="318">
        <v>61.94</v>
      </c>
      <c r="E39" s="270" t="s">
        <v>454</v>
      </c>
      <c r="F39" s="270">
        <v>1000</v>
      </c>
      <c r="G39" s="296">
        <f t="shared" si="8"/>
        <v>6.1939999999999995E-2</v>
      </c>
      <c r="I39" s="309"/>
      <c r="J39" s="315"/>
      <c r="K39" s="311"/>
      <c r="L39" s="311"/>
      <c r="M39" s="311"/>
      <c r="O39" s="525"/>
      <c r="P39" s="21" t="s">
        <v>35</v>
      </c>
      <c r="Q39" s="266">
        <f>SUMIFS(D4:D126,E4:E126,"Banheiros",F4:F126,"300")</f>
        <v>100.84</v>
      </c>
      <c r="R39" s="27">
        <v>300</v>
      </c>
      <c r="S39" s="438"/>
      <c r="T39" s="328">
        <f t="shared" si="7"/>
        <v>0.33613333333333334</v>
      </c>
    </row>
    <row r="40" spans="1:22" ht="12.75">
      <c r="A40" s="292" t="s">
        <v>451</v>
      </c>
      <c r="B40" s="301" t="s">
        <v>502</v>
      </c>
      <c r="C40" s="301" t="s">
        <v>504</v>
      </c>
      <c r="D40" s="318">
        <v>2.15</v>
      </c>
      <c r="E40" s="270" t="s">
        <v>467</v>
      </c>
      <c r="F40" s="270">
        <f>IF(E40="Pisos acarpetados",1200,IF(E40="Pisos frios",1200,IF(E40="Laboratórios",450,IF(E40="Almoxarifados/galpões",2500,IF(E40="Oficinas",1800,IF(E40="Áreas com espaços livres - saguão hall e salão",1500,IF(E40="Banheiros",300,0)))))))</f>
        <v>300</v>
      </c>
      <c r="G40" s="296">
        <f t="shared" si="8"/>
        <v>7.1666666666666667E-3</v>
      </c>
      <c r="I40" s="309"/>
      <c r="J40" s="315"/>
      <c r="K40" s="311"/>
      <c r="L40" s="311"/>
      <c r="M40" s="311"/>
      <c r="O40" s="562" t="s">
        <v>36</v>
      </c>
      <c r="P40" s="21" t="s">
        <v>37</v>
      </c>
      <c r="Q40" s="24">
        <f>SUMIF(K4:K63,"Pisos pavimentados adjacentes/contíguos às edificações",J4:J63)</f>
        <v>433.62</v>
      </c>
      <c r="R40" s="22">
        <v>2700</v>
      </c>
      <c r="S40" s="598">
        <f>SUM(Q40:Q45)</f>
        <v>951.01</v>
      </c>
      <c r="T40" s="328">
        <f t="shared" si="7"/>
        <v>0.16059999999999999</v>
      </c>
    </row>
    <row r="41" spans="1:22" ht="25.5">
      <c r="A41" s="292" t="s">
        <v>451</v>
      </c>
      <c r="B41" s="301" t="s">
        <v>502</v>
      </c>
      <c r="C41" s="301" t="s">
        <v>505</v>
      </c>
      <c r="D41" s="318">
        <v>24.89</v>
      </c>
      <c r="E41" s="270" t="s">
        <v>454</v>
      </c>
      <c r="F41" s="270">
        <v>1000</v>
      </c>
      <c r="G41" s="296">
        <f t="shared" si="8"/>
        <v>2.4889999999999999E-2</v>
      </c>
      <c r="I41" s="309"/>
      <c r="J41" s="315"/>
      <c r="K41" s="311"/>
      <c r="L41" s="311"/>
      <c r="M41" s="311"/>
      <c r="O41" s="524"/>
      <c r="P41" s="21" t="s">
        <v>38</v>
      </c>
      <c r="Q41" s="24">
        <f>SUMIF(K4:K63,"Varrição de passeios e arruamentos",J4:J63)</f>
        <v>467.68</v>
      </c>
      <c r="R41" s="22">
        <v>9000</v>
      </c>
      <c r="S41" s="437"/>
      <c r="T41" s="328">
        <f t="shared" si="7"/>
        <v>5.1964444444444445E-2</v>
      </c>
    </row>
    <row r="42" spans="1:22" ht="25.5">
      <c r="A42" s="292" t="s">
        <v>451</v>
      </c>
      <c r="B42" s="301" t="s">
        <v>502</v>
      </c>
      <c r="C42" s="301" t="s">
        <v>506</v>
      </c>
      <c r="D42" s="318">
        <v>2.19</v>
      </c>
      <c r="E42" s="270" t="s">
        <v>467</v>
      </c>
      <c r="F42" s="270">
        <f>IF(E42="Pisos acarpetados",1200,IF(E42="Pisos frios",1200,IF(E42="Laboratórios",450,IF(E42="Almoxarifados/galpões",2500,IF(E42="Oficinas",1800,IF(E42="Áreas com espaços livres - saguão hall e salão",1500,IF(E42="Banheiros",300,0)))))))</f>
        <v>300</v>
      </c>
      <c r="G42" s="296">
        <f t="shared" si="8"/>
        <v>7.3000000000000001E-3</v>
      </c>
      <c r="I42" s="309"/>
      <c r="J42" s="315"/>
      <c r="K42" s="311"/>
      <c r="L42" s="311"/>
      <c r="M42" s="311"/>
      <c r="O42" s="524"/>
      <c r="P42" s="21" t="s">
        <v>39</v>
      </c>
      <c r="Q42" s="24">
        <f>SUMIF(K4:K63,"Pátios e áreas verdes com alta frequência",J4:J63)</f>
        <v>49.71</v>
      </c>
      <c r="R42" s="22">
        <v>2700</v>
      </c>
      <c r="S42" s="437"/>
      <c r="T42" s="328">
        <f t="shared" si="7"/>
        <v>1.8411111111111111E-2</v>
      </c>
    </row>
    <row r="43" spans="1:22" ht="25.5">
      <c r="A43" s="292" t="s">
        <v>451</v>
      </c>
      <c r="B43" s="301" t="s">
        <v>502</v>
      </c>
      <c r="C43" s="301" t="s">
        <v>507</v>
      </c>
      <c r="D43" s="318">
        <v>112.51</v>
      </c>
      <c r="E43" s="270" t="s">
        <v>454</v>
      </c>
      <c r="F43" s="270">
        <v>1000</v>
      </c>
      <c r="G43" s="296">
        <f t="shared" si="8"/>
        <v>0.11251</v>
      </c>
      <c r="I43" s="309"/>
      <c r="J43" s="315"/>
      <c r="K43" s="311"/>
      <c r="L43" s="311"/>
      <c r="M43" s="311"/>
      <c r="O43" s="524"/>
      <c r="P43" s="21" t="s">
        <v>40</v>
      </c>
      <c r="Q43" s="24">
        <f>SUMIF(K4:K63,"Pátios e áreas verdes com média frequência",J4:J63)</f>
        <v>0</v>
      </c>
      <c r="R43" s="22">
        <v>2700</v>
      </c>
      <c r="S43" s="437"/>
      <c r="T43" s="328">
        <f t="shared" si="7"/>
        <v>0</v>
      </c>
    </row>
    <row r="44" spans="1:22" ht="12.75">
      <c r="A44" s="292" t="s">
        <v>451</v>
      </c>
      <c r="B44" s="301" t="s">
        <v>502</v>
      </c>
      <c r="C44" s="301" t="s">
        <v>508</v>
      </c>
      <c r="D44" s="295">
        <v>47.77</v>
      </c>
      <c r="E44" s="270" t="s">
        <v>454</v>
      </c>
      <c r="F44" s="270">
        <v>1000</v>
      </c>
      <c r="G44" s="296">
        <f t="shared" si="8"/>
        <v>4.777E-2</v>
      </c>
      <c r="I44" s="309"/>
      <c r="J44" s="315"/>
      <c r="K44" s="311"/>
      <c r="L44" s="311"/>
      <c r="M44" s="311"/>
      <c r="O44" s="524"/>
      <c r="P44" s="21" t="s">
        <v>41</v>
      </c>
      <c r="Q44" s="24">
        <f>SUMIF(K4:K63,"Pátios e áreas verdes com baixa frequência",J4:J63)</f>
        <v>0</v>
      </c>
      <c r="R44" s="22">
        <v>2700</v>
      </c>
      <c r="S44" s="437"/>
      <c r="T44" s="328">
        <f t="shared" si="7"/>
        <v>0</v>
      </c>
    </row>
    <row r="45" spans="1:22" ht="25.5">
      <c r="A45" s="292" t="s">
        <v>451</v>
      </c>
      <c r="B45" s="301" t="s">
        <v>502</v>
      </c>
      <c r="C45" s="301" t="s">
        <v>509</v>
      </c>
      <c r="D45" s="295">
        <v>21.3</v>
      </c>
      <c r="E45" s="270" t="s">
        <v>454</v>
      </c>
      <c r="F45" s="270">
        <v>1000</v>
      </c>
      <c r="G45" s="296">
        <f t="shared" si="8"/>
        <v>2.1299999999999999E-2</v>
      </c>
      <c r="I45" s="309"/>
      <c r="J45" s="315"/>
      <c r="K45" s="311"/>
      <c r="L45" s="311"/>
      <c r="M45" s="311"/>
      <c r="O45" s="525"/>
      <c r="P45" s="21" t="s">
        <v>42</v>
      </c>
      <c r="Q45" s="24">
        <f>SUMIF(K4:K63,"coleta de detritos em pátios e áreas verdes com frequência diária",J4:J63)</f>
        <v>0</v>
      </c>
      <c r="R45" s="22">
        <v>100000</v>
      </c>
      <c r="S45" s="438"/>
      <c r="T45" s="328">
        <f t="shared" si="7"/>
        <v>0</v>
      </c>
    </row>
    <row r="46" spans="1:22" ht="12.75">
      <c r="A46" s="292" t="s">
        <v>451</v>
      </c>
      <c r="B46" s="301" t="s">
        <v>502</v>
      </c>
      <c r="C46" s="301" t="s">
        <v>510</v>
      </c>
      <c r="D46" s="295">
        <v>56.7</v>
      </c>
      <c r="E46" s="270" t="s">
        <v>454</v>
      </c>
      <c r="F46" s="270">
        <v>1000</v>
      </c>
      <c r="G46" s="296">
        <f t="shared" si="8"/>
        <v>5.67E-2</v>
      </c>
      <c r="I46" s="309"/>
      <c r="J46" s="315"/>
      <c r="K46" s="311"/>
      <c r="L46" s="311"/>
      <c r="M46" s="311"/>
      <c r="O46" s="562" t="s">
        <v>43</v>
      </c>
      <c r="P46" s="21" t="s">
        <v>44</v>
      </c>
      <c r="Q46" s="24">
        <f>P14</f>
        <v>0</v>
      </c>
      <c r="R46" s="22">
        <v>160</v>
      </c>
      <c r="S46" s="598">
        <f>SUM(Q46:Q48)</f>
        <v>761.89</v>
      </c>
      <c r="T46" s="328">
        <f>T14</f>
        <v>0</v>
      </c>
      <c r="V46" s="13"/>
    </row>
    <row r="47" spans="1:22" ht="25.5">
      <c r="A47" s="292" t="s">
        <v>451</v>
      </c>
      <c r="B47" s="301" t="s">
        <v>502</v>
      </c>
      <c r="C47" s="301" t="s">
        <v>511</v>
      </c>
      <c r="D47" s="295">
        <v>14.58</v>
      </c>
      <c r="E47" s="270" t="s">
        <v>454</v>
      </c>
      <c r="F47" s="270">
        <v>1000</v>
      </c>
      <c r="G47" s="296">
        <f t="shared" si="8"/>
        <v>1.4579999999999999E-2</v>
      </c>
      <c r="I47" s="309"/>
      <c r="J47" s="315"/>
      <c r="K47" s="311"/>
      <c r="L47" s="311"/>
      <c r="M47" s="311"/>
      <c r="O47" s="524"/>
      <c r="P47" s="21" t="s">
        <v>45</v>
      </c>
      <c r="Q47" s="24">
        <f>P4</f>
        <v>0</v>
      </c>
      <c r="R47" s="22">
        <v>380</v>
      </c>
      <c r="S47" s="437"/>
      <c r="T47" s="328">
        <f>T4</f>
        <v>0</v>
      </c>
      <c r="V47" s="13"/>
    </row>
    <row r="48" spans="1:22" ht="25.5">
      <c r="A48" s="292" t="s">
        <v>451</v>
      </c>
      <c r="B48" s="301" t="s">
        <v>502</v>
      </c>
      <c r="C48" s="301" t="s">
        <v>453</v>
      </c>
      <c r="D48" s="295">
        <v>63.03</v>
      </c>
      <c r="E48" s="270" t="s">
        <v>454</v>
      </c>
      <c r="F48" s="270">
        <v>1000</v>
      </c>
      <c r="G48" s="296">
        <f t="shared" si="8"/>
        <v>6.3030000000000003E-2</v>
      </c>
      <c r="I48" s="309"/>
      <c r="J48" s="315"/>
      <c r="K48" s="311"/>
      <c r="L48" s="311"/>
      <c r="M48" s="311"/>
      <c r="O48" s="525"/>
      <c r="P48" s="21" t="s">
        <v>46</v>
      </c>
      <c r="Q48" s="24">
        <f>P6</f>
        <v>761.89</v>
      </c>
      <c r="R48" s="22">
        <v>380</v>
      </c>
      <c r="S48" s="438"/>
      <c r="T48" s="328">
        <f>T6</f>
        <v>0.16994903023611158</v>
      </c>
      <c r="V48" s="13"/>
    </row>
    <row r="49" spans="1:24" ht="25.5">
      <c r="A49" s="292" t="s">
        <v>451</v>
      </c>
      <c r="B49" s="301" t="s">
        <v>502</v>
      </c>
      <c r="C49" s="301" t="s">
        <v>469</v>
      </c>
      <c r="D49" s="295">
        <v>9.5500000000000007</v>
      </c>
      <c r="E49" s="270" t="s">
        <v>467</v>
      </c>
      <c r="F49" s="270">
        <f t="shared" ref="F49:F51" si="9">IF(E49="Pisos acarpetados",1200,IF(E49="Pisos frios",1200,IF(E49="Laboratórios",450,IF(E49="Almoxarifados/galpões",2500,IF(E49="Oficinas",1800,IF(E49="Áreas com espaços livres - saguão hall e salão",1500,IF(E49="Banheiros",300,0)))))))</f>
        <v>300</v>
      </c>
      <c r="G49" s="296">
        <f t="shared" si="8"/>
        <v>3.1833333333333338E-2</v>
      </c>
      <c r="I49" s="309"/>
      <c r="J49" s="315"/>
      <c r="K49" s="311"/>
      <c r="L49" s="311"/>
      <c r="M49" s="311"/>
      <c r="O49" s="271" t="s">
        <v>47</v>
      </c>
      <c r="P49" s="21" t="s">
        <v>47</v>
      </c>
      <c r="Q49" s="24">
        <v>0</v>
      </c>
      <c r="R49" s="22">
        <v>160</v>
      </c>
      <c r="S49" s="332">
        <f t="shared" ref="S49:S50" si="10">Q49</f>
        <v>0</v>
      </c>
      <c r="T49" s="328">
        <v>0</v>
      </c>
    </row>
    <row r="50" spans="1:24" ht="12.75">
      <c r="A50" s="292" t="s">
        <v>451</v>
      </c>
      <c r="B50" s="301" t="s">
        <v>502</v>
      </c>
      <c r="C50" s="301" t="s">
        <v>512</v>
      </c>
      <c r="D50" s="295">
        <v>3.5</v>
      </c>
      <c r="E50" s="270" t="s">
        <v>467</v>
      </c>
      <c r="F50" s="270">
        <f t="shared" si="9"/>
        <v>300</v>
      </c>
      <c r="G50" s="296">
        <f t="shared" si="8"/>
        <v>1.1666666666666667E-2</v>
      </c>
      <c r="I50" s="309"/>
      <c r="J50" s="315"/>
      <c r="K50" s="311"/>
      <c r="L50" s="311"/>
      <c r="M50" s="311"/>
      <c r="O50" s="271" t="s">
        <v>48</v>
      </c>
      <c r="P50" s="21" t="s">
        <v>48</v>
      </c>
      <c r="Q50" s="24">
        <v>0</v>
      </c>
      <c r="R50" s="22">
        <v>450</v>
      </c>
      <c r="S50" s="332">
        <f t="shared" si="10"/>
        <v>0</v>
      </c>
      <c r="T50" s="328">
        <f>Q50/R50</f>
        <v>0</v>
      </c>
    </row>
    <row r="51" spans="1:24" ht="25.5">
      <c r="A51" s="292" t="s">
        <v>451</v>
      </c>
      <c r="B51" s="301" t="s">
        <v>502</v>
      </c>
      <c r="C51" s="301" t="s">
        <v>466</v>
      </c>
      <c r="D51" s="295">
        <v>8.83</v>
      </c>
      <c r="E51" s="270" t="s">
        <v>467</v>
      </c>
      <c r="F51" s="270">
        <f t="shared" si="9"/>
        <v>300</v>
      </c>
      <c r="G51" s="296">
        <f t="shared" si="8"/>
        <v>2.9433333333333332E-2</v>
      </c>
      <c r="I51" s="309"/>
      <c r="J51" s="315"/>
      <c r="K51" s="311"/>
      <c r="L51" s="311"/>
      <c r="M51" s="311"/>
      <c r="O51" s="564" t="s">
        <v>15</v>
      </c>
      <c r="P51" s="565"/>
      <c r="Q51" s="565"/>
      <c r="R51" s="566"/>
      <c r="S51" s="333">
        <f>SUM(S29:S50)</f>
        <v>5317.9800000000014</v>
      </c>
      <c r="T51" s="334">
        <f>SUM(T29:T50)-T46</f>
        <v>4.747195419125001</v>
      </c>
    </row>
    <row r="52" spans="1:24" ht="38.25">
      <c r="A52" s="292" t="s">
        <v>451</v>
      </c>
      <c r="B52" s="301" t="s">
        <v>502</v>
      </c>
      <c r="C52" s="301" t="s">
        <v>513</v>
      </c>
      <c r="D52" s="295">
        <v>1.82</v>
      </c>
      <c r="E52" s="270" t="s">
        <v>454</v>
      </c>
      <c r="F52" s="270">
        <v>1000</v>
      </c>
      <c r="G52" s="296">
        <f t="shared" si="8"/>
        <v>1.82E-3</v>
      </c>
      <c r="I52" s="309"/>
      <c r="J52" s="315"/>
      <c r="K52" s="311"/>
      <c r="L52" s="311"/>
      <c r="M52" s="311"/>
      <c r="X52" s="12"/>
    </row>
    <row r="53" spans="1:24" ht="12.75">
      <c r="A53" s="292" t="s">
        <v>451</v>
      </c>
      <c r="B53" s="301" t="s">
        <v>502</v>
      </c>
      <c r="C53" s="301" t="s">
        <v>493</v>
      </c>
      <c r="D53" s="295">
        <v>6.2</v>
      </c>
      <c r="E53" s="270" t="s">
        <v>454</v>
      </c>
      <c r="F53" s="270">
        <v>1000</v>
      </c>
      <c r="G53" s="296">
        <f t="shared" si="8"/>
        <v>6.1999999999999998E-3</v>
      </c>
      <c r="I53" s="309"/>
      <c r="J53" s="315"/>
      <c r="K53" s="311"/>
      <c r="L53" s="311"/>
      <c r="M53" s="311"/>
      <c r="X53" s="13"/>
    </row>
    <row r="54" spans="1:24" ht="25.5">
      <c r="A54" s="292" t="s">
        <v>451</v>
      </c>
      <c r="B54" s="301" t="s">
        <v>502</v>
      </c>
      <c r="C54" s="301" t="s">
        <v>514</v>
      </c>
      <c r="D54" s="295">
        <v>1.85</v>
      </c>
      <c r="E54" s="270" t="s">
        <v>454</v>
      </c>
      <c r="F54" s="270">
        <v>1000</v>
      </c>
      <c r="G54" s="296">
        <f t="shared" si="8"/>
        <v>1.8500000000000001E-3</v>
      </c>
      <c r="I54" s="309"/>
      <c r="J54" s="315"/>
      <c r="K54" s="311"/>
      <c r="L54" s="311"/>
      <c r="M54" s="311"/>
      <c r="R54" s="278"/>
      <c r="S54" s="278" t="s">
        <v>49</v>
      </c>
      <c r="T54" s="279">
        <f>ROUND(T51,0)</f>
        <v>5</v>
      </c>
      <c r="X54" s="13"/>
    </row>
    <row r="55" spans="1:24" ht="25.5">
      <c r="A55" s="292" t="s">
        <v>451</v>
      </c>
      <c r="B55" s="301" t="s">
        <v>502</v>
      </c>
      <c r="C55" s="301" t="s">
        <v>515</v>
      </c>
      <c r="D55" s="295">
        <v>10.81</v>
      </c>
      <c r="E55" s="270" t="s">
        <v>454</v>
      </c>
      <c r="F55" s="270">
        <v>1000</v>
      </c>
      <c r="G55" s="296">
        <f t="shared" si="8"/>
        <v>1.081E-2</v>
      </c>
      <c r="I55" s="309"/>
      <c r="J55" s="315"/>
      <c r="K55" s="311"/>
      <c r="L55" s="311"/>
      <c r="M55" s="311"/>
      <c r="R55" s="278"/>
      <c r="S55" s="278" t="s">
        <v>516</v>
      </c>
      <c r="T55" s="279">
        <f>T49+T46</f>
        <v>0</v>
      </c>
      <c r="X55" s="20"/>
    </row>
    <row r="56" spans="1:24" ht="12.75">
      <c r="A56" s="292" t="s">
        <v>451</v>
      </c>
      <c r="B56" s="301" t="s">
        <v>502</v>
      </c>
      <c r="C56" s="301" t="s">
        <v>496</v>
      </c>
      <c r="D56" s="295">
        <v>18.46</v>
      </c>
      <c r="E56" s="270" t="s">
        <v>454</v>
      </c>
      <c r="F56" s="270">
        <v>1000</v>
      </c>
      <c r="G56" s="296">
        <f t="shared" si="8"/>
        <v>1.8460000000000001E-2</v>
      </c>
      <c r="I56" s="309"/>
      <c r="J56" s="315"/>
      <c r="K56" s="311"/>
      <c r="L56" s="311"/>
      <c r="M56" s="311"/>
      <c r="O56" s="575"/>
      <c r="P56" s="461"/>
      <c r="Q56" s="461"/>
      <c r="R56" s="461"/>
      <c r="S56" s="461"/>
      <c r="T56" s="461"/>
      <c r="U56" s="461"/>
      <c r="V56" s="461"/>
      <c r="W56" s="461"/>
      <c r="X56" s="20"/>
    </row>
    <row r="57" spans="1:24" ht="12.75">
      <c r="A57" s="292" t="s">
        <v>451</v>
      </c>
      <c r="B57" s="301" t="s">
        <v>502</v>
      </c>
      <c r="C57" s="301" t="s">
        <v>517</v>
      </c>
      <c r="D57" s="295">
        <v>1.55</v>
      </c>
      <c r="E57" s="270" t="s">
        <v>489</v>
      </c>
      <c r="F57" s="270">
        <f t="shared" ref="F57:F58" si="11">IF(E57="Pisos acarpetados",1200,IF(E57="Pisos frios",1200,IF(E57="Laboratórios",450,IF(E57="Almoxarifados/galpões",2500,IF(E57="Oficinas",1800,IF(E57="Áreas com espaços livres - saguão hall e salão",1500,IF(E57="Banheiros",300,0)))))))</f>
        <v>2500</v>
      </c>
      <c r="G57" s="296">
        <f t="shared" si="8"/>
        <v>6.2E-4</v>
      </c>
      <c r="I57" s="309"/>
      <c r="J57" s="315"/>
      <c r="K57" s="311"/>
      <c r="L57" s="311"/>
      <c r="M57" s="311"/>
      <c r="O57" s="576"/>
      <c r="P57" s="576"/>
      <c r="Q57" s="577"/>
      <c r="R57" s="460"/>
      <c r="S57" s="578"/>
      <c r="T57" s="578"/>
      <c r="U57" s="461"/>
      <c r="V57" s="460"/>
      <c r="W57" s="461"/>
      <c r="X57" s="20"/>
    </row>
    <row r="58" spans="1:24" ht="12.75">
      <c r="A58" s="292" t="s">
        <v>451</v>
      </c>
      <c r="B58" s="301" t="s">
        <v>502</v>
      </c>
      <c r="C58" s="301" t="s">
        <v>518</v>
      </c>
      <c r="D58" s="295">
        <v>2.2400000000000002</v>
      </c>
      <c r="E58" s="270" t="s">
        <v>489</v>
      </c>
      <c r="F58" s="270">
        <f t="shared" si="11"/>
        <v>2500</v>
      </c>
      <c r="G58" s="296">
        <f t="shared" si="8"/>
        <v>8.9600000000000009E-4</v>
      </c>
      <c r="I58" s="309"/>
      <c r="J58" s="315"/>
      <c r="K58" s="311"/>
      <c r="L58" s="311"/>
      <c r="M58" s="311"/>
      <c r="O58" s="461"/>
      <c r="P58" s="461"/>
      <c r="Q58" s="461"/>
      <c r="R58" s="461"/>
      <c r="S58" s="461"/>
      <c r="T58" s="460"/>
      <c r="U58" s="578"/>
      <c r="V58" s="460"/>
      <c r="W58" s="578"/>
      <c r="X58" s="20"/>
    </row>
    <row r="59" spans="1:24" ht="12.75">
      <c r="A59" s="292" t="s">
        <v>451</v>
      </c>
      <c r="B59" s="301" t="s">
        <v>519</v>
      </c>
      <c r="C59" s="301" t="s">
        <v>520</v>
      </c>
      <c r="D59" s="295">
        <v>33.380000000000003</v>
      </c>
      <c r="E59" s="270" t="s">
        <v>454</v>
      </c>
      <c r="F59" s="270">
        <v>1000</v>
      </c>
      <c r="G59" s="296">
        <f t="shared" si="8"/>
        <v>3.338E-2</v>
      </c>
      <c r="I59" s="309"/>
      <c r="J59" s="315"/>
      <c r="K59" s="311"/>
      <c r="L59" s="311"/>
      <c r="M59" s="311"/>
      <c r="O59" s="461"/>
      <c r="P59" s="461"/>
      <c r="Q59" s="461"/>
      <c r="R59" s="461"/>
      <c r="S59" s="461"/>
      <c r="T59" s="461"/>
      <c r="U59" s="461"/>
      <c r="V59" s="461"/>
      <c r="W59" s="461"/>
      <c r="X59" s="20"/>
    </row>
    <row r="60" spans="1:24" ht="12.75">
      <c r="A60" s="292" t="s">
        <v>451</v>
      </c>
      <c r="B60" s="301" t="s">
        <v>519</v>
      </c>
      <c r="C60" s="301" t="s">
        <v>521</v>
      </c>
      <c r="D60" s="295">
        <v>2.19</v>
      </c>
      <c r="E60" s="270" t="s">
        <v>467</v>
      </c>
      <c r="F60" s="270">
        <f>IF(E60="Pisos acarpetados",1200,IF(E60="Pisos frios",1200,IF(E60="Laboratórios",450,IF(E60="Almoxarifados/galpões",2500,IF(E60="Oficinas",1800,IF(E60="Áreas com espaços livres - saguão hall e salão",1500,IF(E60="Banheiros",300,0)))))))</f>
        <v>300</v>
      </c>
      <c r="G60" s="296">
        <f t="shared" si="8"/>
        <v>7.3000000000000001E-3</v>
      </c>
      <c r="I60" s="309"/>
      <c r="J60" s="315"/>
      <c r="K60" s="311"/>
      <c r="L60" s="311"/>
      <c r="M60" s="311"/>
      <c r="O60" s="579"/>
      <c r="P60" s="68"/>
      <c r="Q60" s="70"/>
      <c r="R60" s="70"/>
      <c r="S60" s="20"/>
      <c r="T60" s="20"/>
      <c r="U60" s="20"/>
      <c r="V60" s="20"/>
      <c r="W60" s="20"/>
      <c r="X60" s="20"/>
    </row>
    <row r="61" spans="1:24" ht="25.5">
      <c r="A61" s="292" t="s">
        <v>451</v>
      </c>
      <c r="B61" s="301" t="s">
        <v>519</v>
      </c>
      <c r="C61" s="301" t="s">
        <v>522</v>
      </c>
      <c r="D61" s="295">
        <v>25.46</v>
      </c>
      <c r="E61" s="270" t="s">
        <v>454</v>
      </c>
      <c r="F61" s="270">
        <v>1000</v>
      </c>
      <c r="G61" s="296">
        <f t="shared" si="8"/>
        <v>2.546E-2</v>
      </c>
      <c r="I61" s="309"/>
      <c r="J61" s="315"/>
      <c r="K61" s="311"/>
      <c r="L61" s="311"/>
      <c r="M61" s="311"/>
      <c r="O61" s="461"/>
      <c r="P61" s="68"/>
      <c r="Q61" s="70"/>
      <c r="R61" s="70"/>
      <c r="S61" s="20"/>
      <c r="T61" s="335"/>
      <c r="U61" s="20"/>
      <c r="V61" s="20"/>
      <c r="W61" s="20"/>
      <c r="X61" s="20"/>
    </row>
    <row r="62" spans="1:24" ht="12.75">
      <c r="A62" s="292" t="s">
        <v>451</v>
      </c>
      <c r="B62" s="301" t="s">
        <v>519</v>
      </c>
      <c r="C62" s="301" t="s">
        <v>523</v>
      </c>
      <c r="D62" s="295">
        <v>33.72</v>
      </c>
      <c r="E62" s="270" t="s">
        <v>454</v>
      </c>
      <c r="F62" s="270">
        <v>1000</v>
      </c>
      <c r="G62" s="296">
        <f t="shared" si="8"/>
        <v>3.372E-2</v>
      </c>
      <c r="I62" s="309"/>
      <c r="J62" s="315"/>
      <c r="K62" s="310"/>
      <c r="L62" s="311"/>
      <c r="M62" s="311"/>
      <c r="O62" s="461"/>
      <c r="P62" s="68"/>
      <c r="Q62" s="65"/>
      <c r="R62" s="65"/>
      <c r="S62" s="20"/>
      <c r="T62" s="20"/>
      <c r="U62" s="20"/>
      <c r="V62" s="20"/>
      <c r="W62" s="20"/>
      <c r="X62" s="20"/>
    </row>
    <row r="63" spans="1:24" ht="12.75">
      <c r="A63" s="292" t="s">
        <v>451</v>
      </c>
      <c r="B63" s="301" t="s">
        <v>519</v>
      </c>
      <c r="C63" s="301" t="s">
        <v>524</v>
      </c>
      <c r="D63" s="295">
        <v>2.2000000000000002</v>
      </c>
      <c r="E63" s="270" t="s">
        <v>454</v>
      </c>
      <c r="F63" s="270">
        <v>1000</v>
      </c>
      <c r="G63" s="296">
        <f t="shared" si="8"/>
        <v>2.2000000000000001E-3</v>
      </c>
      <c r="I63" s="309"/>
      <c r="J63" s="315"/>
      <c r="K63" s="311"/>
      <c r="L63" s="311"/>
      <c r="M63" s="311"/>
      <c r="O63" s="461"/>
      <c r="P63" s="68"/>
      <c r="Q63" s="70"/>
      <c r="R63" s="70"/>
      <c r="S63" s="20"/>
      <c r="T63" s="20"/>
      <c r="U63" s="20"/>
      <c r="V63" s="20"/>
      <c r="W63" s="20"/>
      <c r="X63" s="20"/>
    </row>
    <row r="64" spans="1:24" ht="12.75">
      <c r="A64" s="292" t="s">
        <v>451</v>
      </c>
      <c r="B64" s="301" t="s">
        <v>519</v>
      </c>
      <c r="C64" s="301" t="s">
        <v>525</v>
      </c>
      <c r="D64" s="295">
        <v>17.18</v>
      </c>
      <c r="E64" s="270" t="s">
        <v>454</v>
      </c>
      <c r="F64" s="270">
        <v>1000</v>
      </c>
      <c r="G64" s="296">
        <f t="shared" si="8"/>
        <v>1.7180000000000001E-2</v>
      </c>
      <c r="I64" s="336"/>
      <c r="J64" s="337"/>
      <c r="K64" s="337"/>
      <c r="L64" s="337"/>
      <c r="M64" s="337"/>
      <c r="O64" s="461"/>
      <c r="P64" s="68"/>
      <c r="Q64" s="70"/>
      <c r="R64" s="70"/>
      <c r="S64" s="20"/>
      <c r="T64" s="20"/>
      <c r="U64" s="20"/>
      <c r="V64" s="20"/>
      <c r="W64" s="20"/>
      <c r="X64" s="20"/>
    </row>
    <row r="65" spans="1:24" ht="25.5">
      <c r="A65" s="292" t="s">
        <v>451</v>
      </c>
      <c r="B65" s="301" t="s">
        <v>519</v>
      </c>
      <c r="C65" s="301" t="s">
        <v>526</v>
      </c>
      <c r="D65" s="295">
        <v>89.4</v>
      </c>
      <c r="E65" s="270" t="s">
        <v>454</v>
      </c>
      <c r="F65" s="270">
        <v>1000</v>
      </c>
      <c r="G65" s="296">
        <f t="shared" si="8"/>
        <v>8.9400000000000007E-2</v>
      </c>
      <c r="O65" s="461"/>
      <c r="P65" s="68"/>
      <c r="Q65" s="70"/>
      <c r="R65" s="70"/>
      <c r="S65" s="20"/>
      <c r="T65" s="20"/>
      <c r="U65" s="20"/>
      <c r="V65" s="20"/>
      <c r="W65" s="20"/>
      <c r="X65" s="20"/>
    </row>
    <row r="66" spans="1:24" ht="12.75">
      <c r="A66" s="292" t="s">
        <v>451</v>
      </c>
      <c r="B66" s="301" t="s">
        <v>519</v>
      </c>
      <c r="C66" s="301" t="s">
        <v>527</v>
      </c>
      <c r="D66" s="295">
        <v>15.93</v>
      </c>
      <c r="E66" s="270" t="s">
        <v>454</v>
      </c>
      <c r="F66" s="270">
        <v>1000</v>
      </c>
      <c r="G66" s="296">
        <f t="shared" si="8"/>
        <v>1.593E-2</v>
      </c>
      <c r="O66" s="461"/>
      <c r="P66" s="68"/>
      <c r="Q66" s="65"/>
      <c r="R66" s="65"/>
      <c r="S66" s="20"/>
      <c r="T66" s="20"/>
      <c r="U66" s="20"/>
      <c r="V66" s="20"/>
      <c r="W66" s="20"/>
      <c r="X66" s="20"/>
    </row>
    <row r="67" spans="1:24" ht="12.75">
      <c r="A67" s="292" t="s">
        <v>451</v>
      </c>
      <c r="B67" s="301" t="s">
        <v>519</v>
      </c>
      <c r="C67" s="301" t="s">
        <v>528</v>
      </c>
      <c r="D67" s="295">
        <v>108.96</v>
      </c>
      <c r="E67" s="270" t="s">
        <v>454</v>
      </c>
      <c r="F67" s="270">
        <v>1000</v>
      </c>
      <c r="G67" s="296">
        <f t="shared" si="8"/>
        <v>0.10895999999999999</v>
      </c>
      <c r="O67" s="579"/>
      <c r="P67" s="68"/>
      <c r="Q67" s="70"/>
      <c r="R67" s="70"/>
      <c r="S67" s="20"/>
      <c r="T67" s="20"/>
      <c r="U67" s="20"/>
      <c r="V67" s="20"/>
      <c r="W67" s="20"/>
      <c r="X67" s="20"/>
    </row>
    <row r="68" spans="1:24" ht="12.75">
      <c r="A68" s="292" t="s">
        <v>451</v>
      </c>
      <c r="B68" s="301" t="s">
        <v>519</v>
      </c>
      <c r="C68" s="301" t="s">
        <v>529</v>
      </c>
      <c r="D68" s="295">
        <v>14.46</v>
      </c>
      <c r="E68" s="270" t="s">
        <v>454</v>
      </c>
      <c r="F68" s="270">
        <v>1000</v>
      </c>
      <c r="G68" s="296">
        <f t="shared" si="8"/>
        <v>1.4460000000000001E-2</v>
      </c>
      <c r="O68" s="461"/>
      <c r="P68" s="68"/>
      <c r="Q68" s="70"/>
      <c r="R68" s="70"/>
      <c r="S68" s="20"/>
      <c r="T68" s="20"/>
      <c r="U68" s="20"/>
      <c r="V68" s="20"/>
      <c r="W68" s="20"/>
      <c r="X68" s="20"/>
    </row>
    <row r="69" spans="1:24" ht="12.75">
      <c r="A69" s="292" t="s">
        <v>451</v>
      </c>
      <c r="B69" s="301" t="s">
        <v>519</v>
      </c>
      <c r="C69" s="301" t="s">
        <v>530</v>
      </c>
      <c r="D69" s="295">
        <v>11.23</v>
      </c>
      <c r="E69" s="270" t="s">
        <v>467</v>
      </c>
      <c r="F69" s="270">
        <f>IF(E69="Pisos acarpetados",1200,IF(E69="Pisos frios",1200,IF(E69="Laboratórios",450,IF(E69="Almoxarifados/galpões",2500,IF(E69="Oficinas",1800,IF(E69="Áreas com espaços livres - saguão hall e salão",1500,IF(E69="Banheiros",300,0)))))))</f>
        <v>300</v>
      </c>
      <c r="G69" s="296">
        <f t="shared" si="8"/>
        <v>3.7433333333333332E-2</v>
      </c>
      <c r="O69" s="461"/>
      <c r="P69" s="68"/>
      <c r="Q69" s="70"/>
      <c r="R69" s="70"/>
      <c r="S69" s="20"/>
      <c r="T69" s="20"/>
      <c r="U69" s="20"/>
      <c r="V69" s="20"/>
      <c r="W69" s="20"/>
      <c r="X69" s="20"/>
    </row>
    <row r="70" spans="1:24" ht="25.5">
      <c r="A70" s="292" t="s">
        <v>451</v>
      </c>
      <c r="B70" s="301" t="s">
        <v>519</v>
      </c>
      <c r="C70" s="301" t="s">
        <v>531</v>
      </c>
      <c r="D70" s="295">
        <v>1.53</v>
      </c>
      <c r="E70" s="270" t="s">
        <v>454</v>
      </c>
      <c r="F70" s="270">
        <v>1000</v>
      </c>
      <c r="G70" s="296">
        <f t="shared" si="8"/>
        <v>1.5300000000000001E-3</v>
      </c>
      <c r="O70" s="461"/>
      <c r="P70" s="68"/>
      <c r="Q70" s="70"/>
      <c r="R70" s="70"/>
      <c r="S70" s="20"/>
      <c r="T70" s="20"/>
      <c r="U70" s="20"/>
      <c r="V70" s="20"/>
      <c r="W70" s="20"/>
      <c r="X70" s="20"/>
    </row>
    <row r="71" spans="1:24" ht="12.75">
      <c r="A71" s="292" t="s">
        <v>451</v>
      </c>
      <c r="B71" s="301" t="s">
        <v>519</v>
      </c>
      <c r="C71" s="301" t="s">
        <v>493</v>
      </c>
      <c r="D71" s="295">
        <v>6.21</v>
      </c>
      <c r="E71" s="270" t="s">
        <v>454</v>
      </c>
      <c r="F71" s="270">
        <v>1000</v>
      </c>
      <c r="G71" s="296">
        <f t="shared" si="8"/>
        <v>6.2100000000000002E-3</v>
      </c>
      <c r="O71" s="461"/>
      <c r="P71" s="68"/>
      <c r="Q71" s="70"/>
      <c r="R71" s="70"/>
      <c r="S71" s="20"/>
      <c r="T71" s="20"/>
      <c r="U71" s="20"/>
      <c r="V71" s="20"/>
      <c r="W71" s="20"/>
      <c r="X71" s="20"/>
    </row>
    <row r="72" spans="1:24" ht="25.5">
      <c r="A72" s="292" t="s">
        <v>451</v>
      </c>
      <c r="B72" s="301" t="s">
        <v>519</v>
      </c>
      <c r="C72" s="301" t="s">
        <v>494</v>
      </c>
      <c r="D72" s="295">
        <v>1.68</v>
      </c>
      <c r="E72" s="270" t="s">
        <v>454</v>
      </c>
      <c r="F72" s="270">
        <v>1000</v>
      </c>
      <c r="G72" s="296">
        <f t="shared" si="8"/>
        <v>1.6799999999999999E-3</v>
      </c>
      <c r="O72" s="461"/>
      <c r="P72" s="68"/>
      <c r="Q72" s="70"/>
      <c r="R72" s="70"/>
      <c r="S72" s="20"/>
      <c r="T72" s="20"/>
      <c r="U72" s="20"/>
      <c r="V72" s="20"/>
      <c r="W72" s="20"/>
      <c r="X72" s="20"/>
    </row>
    <row r="73" spans="1:24" ht="25.5">
      <c r="A73" s="292" t="s">
        <v>451</v>
      </c>
      <c r="B73" s="301" t="s">
        <v>519</v>
      </c>
      <c r="C73" s="301" t="s">
        <v>495</v>
      </c>
      <c r="D73" s="295">
        <v>9.86</v>
      </c>
      <c r="E73" s="270" t="s">
        <v>454</v>
      </c>
      <c r="F73" s="270">
        <v>1000</v>
      </c>
      <c r="G73" s="296">
        <f t="shared" si="8"/>
        <v>9.859999999999999E-3</v>
      </c>
      <c r="O73" s="579"/>
      <c r="P73" s="68"/>
      <c r="Q73" s="70"/>
      <c r="R73" s="70"/>
      <c r="S73" s="20"/>
      <c r="T73" s="20"/>
      <c r="U73" s="20"/>
      <c r="V73" s="20"/>
      <c r="W73" s="20"/>
      <c r="X73" s="72"/>
    </row>
    <row r="74" spans="1:24" ht="12.75">
      <c r="A74" s="292" t="s">
        <v>451</v>
      </c>
      <c r="B74" s="301" t="s">
        <v>519</v>
      </c>
      <c r="C74" s="301" t="s">
        <v>496</v>
      </c>
      <c r="D74" s="295">
        <v>18.46</v>
      </c>
      <c r="E74" s="270" t="s">
        <v>454</v>
      </c>
      <c r="F74" s="270">
        <v>1000</v>
      </c>
      <c r="G74" s="296">
        <f t="shared" si="8"/>
        <v>1.8460000000000001E-2</v>
      </c>
      <c r="O74" s="461"/>
      <c r="P74" s="68"/>
      <c r="Q74" s="70"/>
      <c r="R74" s="70"/>
      <c r="S74" s="20"/>
      <c r="T74" s="20"/>
      <c r="U74" s="20"/>
      <c r="V74" s="20"/>
      <c r="W74" s="20"/>
      <c r="X74" s="67"/>
    </row>
    <row r="75" spans="1:24" ht="12.75">
      <c r="A75" s="292" t="s">
        <v>451</v>
      </c>
      <c r="B75" s="301" t="s">
        <v>519</v>
      </c>
      <c r="C75" s="301" t="s">
        <v>532</v>
      </c>
      <c r="D75" s="295">
        <v>47.78</v>
      </c>
      <c r="E75" s="270" t="s">
        <v>454</v>
      </c>
      <c r="F75" s="270">
        <v>1000</v>
      </c>
      <c r="G75" s="296">
        <f t="shared" si="8"/>
        <v>4.7780000000000003E-2</v>
      </c>
      <c r="O75" s="461"/>
      <c r="P75" s="68"/>
      <c r="Q75" s="70"/>
      <c r="R75" s="70"/>
      <c r="S75" s="20"/>
      <c r="T75" s="20"/>
      <c r="U75" s="20"/>
      <c r="V75" s="20"/>
      <c r="W75" s="20"/>
    </row>
    <row r="76" spans="1:24" ht="12.75">
      <c r="A76" s="292" t="s">
        <v>451</v>
      </c>
      <c r="B76" s="301" t="s">
        <v>519</v>
      </c>
      <c r="C76" s="301" t="s">
        <v>497</v>
      </c>
      <c r="D76" s="295">
        <v>8.01</v>
      </c>
      <c r="E76" s="270" t="s">
        <v>489</v>
      </c>
      <c r="F76" s="270">
        <f t="shared" ref="F76:F78" si="12">IF(E76="Pisos acarpetados",1200,IF(E76="Pisos frios",1200,IF(E76="Laboratórios",450,IF(E76="Almoxarifados/galpões",2500,IF(E76="Oficinas",1800,IF(E76="Áreas com espaços livres - saguão hall e salão",1500,IF(E76="Banheiros",300,0)))))))</f>
        <v>2500</v>
      </c>
      <c r="G76" s="296">
        <f t="shared" si="8"/>
        <v>3.2039999999999998E-3</v>
      </c>
      <c r="O76" s="63"/>
      <c r="P76" s="68"/>
      <c r="Q76" s="70"/>
      <c r="R76" s="70"/>
      <c r="S76" s="20"/>
      <c r="T76" s="20"/>
      <c r="U76" s="20"/>
      <c r="V76" s="20"/>
      <c r="W76" s="20"/>
    </row>
    <row r="77" spans="1:24" ht="12.75">
      <c r="A77" s="292" t="s">
        <v>451</v>
      </c>
      <c r="B77" s="301" t="s">
        <v>519</v>
      </c>
      <c r="C77" s="301" t="s">
        <v>498</v>
      </c>
      <c r="D77" s="295">
        <v>1.8</v>
      </c>
      <c r="E77" s="270" t="s">
        <v>489</v>
      </c>
      <c r="F77" s="270">
        <f t="shared" si="12"/>
        <v>2500</v>
      </c>
      <c r="G77" s="296">
        <f t="shared" si="8"/>
        <v>7.2000000000000005E-4</v>
      </c>
      <c r="O77" s="63"/>
      <c r="P77" s="68"/>
      <c r="Q77" s="70"/>
      <c r="R77" s="70"/>
      <c r="S77" s="20"/>
      <c r="T77" s="20"/>
      <c r="U77" s="20"/>
      <c r="V77" s="20"/>
      <c r="W77" s="20"/>
    </row>
    <row r="78" spans="1:24" ht="12.75">
      <c r="A78" s="292" t="s">
        <v>451</v>
      </c>
      <c r="B78" s="301" t="s">
        <v>519</v>
      </c>
      <c r="C78" s="301" t="s">
        <v>533</v>
      </c>
      <c r="D78" s="295">
        <v>1.87</v>
      </c>
      <c r="E78" s="270" t="s">
        <v>489</v>
      </c>
      <c r="F78" s="270">
        <f t="shared" si="12"/>
        <v>2500</v>
      </c>
      <c r="G78" s="296">
        <f t="shared" si="8"/>
        <v>7.4800000000000008E-4</v>
      </c>
      <c r="O78" s="460"/>
      <c r="P78" s="461"/>
      <c r="Q78" s="461"/>
      <c r="R78" s="338"/>
      <c r="S78" s="72"/>
      <c r="T78" s="339"/>
      <c r="U78" s="72"/>
      <c r="V78" s="339"/>
      <c r="W78" s="72"/>
    </row>
    <row r="79" spans="1:24" ht="12.75">
      <c r="A79" s="292" t="s">
        <v>451</v>
      </c>
      <c r="B79" s="301" t="s">
        <v>534</v>
      </c>
      <c r="C79" s="301" t="s">
        <v>535</v>
      </c>
      <c r="D79" s="295">
        <v>36.67</v>
      </c>
      <c r="E79" s="270" t="s">
        <v>454</v>
      </c>
      <c r="F79" s="270">
        <v>1000</v>
      </c>
      <c r="G79" s="296">
        <f t="shared" si="8"/>
        <v>3.6670000000000001E-2</v>
      </c>
      <c r="O79" s="460"/>
      <c r="P79" s="461"/>
      <c r="Q79" s="461"/>
      <c r="R79" s="461"/>
      <c r="S79" s="461"/>
      <c r="T79" s="461"/>
      <c r="U79" s="72"/>
      <c r="V79" s="339"/>
      <c r="W79" s="72"/>
    </row>
    <row r="80" spans="1:24" ht="12.75">
      <c r="A80" s="292" t="s">
        <v>451</v>
      </c>
      <c r="B80" s="301" t="s">
        <v>534</v>
      </c>
      <c r="C80" s="301" t="s">
        <v>536</v>
      </c>
      <c r="D80" s="295">
        <v>2.19</v>
      </c>
      <c r="E80" s="270" t="s">
        <v>467</v>
      </c>
      <c r="F80" s="270">
        <f>IF(E80="Pisos acarpetados",1200,IF(E80="Pisos frios",1200,IF(E80="Laboratórios",450,IF(E80="Almoxarifados/galpões",2500,IF(E80="Oficinas",1800,IF(E80="Áreas com espaços livres - saguão hall e salão",1500,IF(E80="Banheiros",300,0)))))))</f>
        <v>300</v>
      </c>
      <c r="G80" s="296">
        <f t="shared" si="8"/>
        <v>7.3000000000000001E-3</v>
      </c>
    </row>
    <row r="81" spans="1:20" ht="25.5">
      <c r="A81" s="292" t="s">
        <v>451</v>
      </c>
      <c r="B81" s="301" t="s">
        <v>534</v>
      </c>
      <c r="C81" s="301" t="s">
        <v>537</v>
      </c>
      <c r="D81" s="295">
        <v>23.16</v>
      </c>
      <c r="E81" s="270" t="s">
        <v>454</v>
      </c>
      <c r="F81" s="270">
        <v>1000</v>
      </c>
      <c r="G81" s="296">
        <f t="shared" si="8"/>
        <v>2.316E-2</v>
      </c>
    </row>
    <row r="82" spans="1:20" ht="25.5">
      <c r="A82" s="292" t="s">
        <v>451</v>
      </c>
      <c r="B82" s="301" t="s">
        <v>534</v>
      </c>
      <c r="C82" s="301" t="s">
        <v>538</v>
      </c>
      <c r="D82" s="295">
        <v>16.579999999999998</v>
      </c>
      <c r="E82" s="270" t="s">
        <v>454</v>
      </c>
      <c r="F82" s="270">
        <v>1000</v>
      </c>
      <c r="G82" s="296">
        <f t="shared" si="8"/>
        <v>1.6579999999999998E-2</v>
      </c>
      <c r="O82" s="575"/>
      <c r="P82" s="461"/>
      <c r="Q82" s="461"/>
      <c r="R82" s="461"/>
      <c r="S82" s="461"/>
      <c r="T82" s="461"/>
    </row>
    <row r="83" spans="1:20" ht="25.5">
      <c r="A83" s="292" t="s">
        <v>451</v>
      </c>
      <c r="B83" s="301" t="s">
        <v>534</v>
      </c>
      <c r="C83" s="301" t="s">
        <v>539</v>
      </c>
      <c r="D83" s="295">
        <v>2.19</v>
      </c>
      <c r="E83" s="270" t="s">
        <v>467</v>
      </c>
      <c r="F83" s="270">
        <f>IF(E83="Pisos acarpetados",1200,IF(E83="Pisos frios",1200,IF(E83="Laboratórios",450,IF(E83="Almoxarifados/galpões",2500,IF(E83="Oficinas",1800,IF(E83="Áreas com espaços livres - saguão hall e salão",1500,IF(E83="Banheiros",300,0)))))))</f>
        <v>300</v>
      </c>
      <c r="G83" s="296">
        <f t="shared" si="8"/>
        <v>7.3000000000000001E-3</v>
      </c>
      <c r="O83" s="576"/>
      <c r="P83" s="576"/>
      <c r="Q83" s="576"/>
      <c r="R83" s="577"/>
      <c r="S83" s="576"/>
      <c r="T83" s="460"/>
    </row>
    <row r="84" spans="1:20" ht="25.5">
      <c r="A84" s="292" t="s">
        <v>451</v>
      </c>
      <c r="B84" s="301" t="s">
        <v>534</v>
      </c>
      <c r="C84" s="301" t="s">
        <v>540</v>
      </c>
      <c r="D84" s="295">
        <v>23.27</v>
      </c>
      <c r="E84" s="270" t="s">
        <v>454</v>
      </c>
      <c r="F84" s="270">
        <v>1000</v>
      </c>
      <c r="G84" s="296">
        <f t="shared" si="8"/>
        <v>2.3269999999999999E-2</v>
      </c>
      <c r="O84" s="461"/>
      <c r="P84" s="461"/>
      <c r="Q84" s="461"/>
      <c r="R84" s="461"/>
      <c r="S84" s="461"/>
      <c r="T84" s="461"/>
    </row>
    <row r="85" spans="1:20" ht="12.75">
      <c r="A85" s="292" t="s">
        <v>451</v>
      </c>
      <c r="B85" s="301" t="s">
        <v>534</v>
      </c>
      <c r="C85" s="301" t="s">
        <v>541</v>
      </c>
      <c r="D85" s="295">
        <v>24.99</v>
      </c>
      <c r="E85" s="270" t="s">
        <v>454</v>
      </c>
      <c r="F85" s="270">
        <v>1000</v>
      </c>
      <c r="G85" s="296">
        <f t="shared" si="8"/>
        <v>2.4989999999999998E-2</v>
      </c>
      <c r="O85" s="461"/>
      <c r="P85" s="461"/>
      <c r="Q85" s="461"/>
      <c r="R85" s="461"/>
      <c r="S85" s="461"/>
      <c r="T85" s="461"/>
    </row>
    <row r="86" spans="1:20" ht="25.5">
      <c r="A86" s="292" t="s">
        <v>451</v>
      </c>
      <c r="B86" s="301" t="s">
        <v>534</v>
      </c>
      <c r="C86" s="301" t="s">
        <v>542</v>
      </c>
      <c r="D86" s="295">
        <v>16.239999999999998</v>
      </c>
      <c r="E86" s="270" t="s">
        <v>454</v>
      </c>
      <c r="F86" s="270">
        <v>1000</v>
      </c>
      <c r="G86" s="296">
        <f t="shared" si="8"/>
        <v>1.6239999999999997E-2</v>
      </c>
      <c r="O86" s="579"/>
      <c r="P86" s="68"/>
      <c r="Q86" s="65"/>
      <c r="R86" s="70"/>
      <c r="S86" s="579"/>
      <c r="T86" s="20"/>
    </row>
    <row r="87" spans="1:20" ht="25.5">
      <c r="A87" s="292" t="s">
        <v>451</v>
      </c>
      <c r="B87" s="301" t="s">
        <v>534</v>
      </c>
      <c r="C87" s="301" t="s">
        <v>543</v>
      </c>
      <c r="D87" s="295">
        <v>49.59</v>
      </c>
      <c r="E87" s="270" t="s">
        <v>454</v>
      </c>
      <c r="F87" s="270">
        <v>1000</v>
      </c>
      <c r="G87" s="296">
        <f t="shared" si="8"/>
        <v>4.9590000000000002E-2</v>
      </c>
      <c r="O87" s="461"/>
      <c r="P87" s="68"/>
      <c r="Q87" s="65"/>
      <c r="R87" s="70"/>
      <c r="S87" s="461"/>
      <c r="T87" s="20"/>
    </row>
    <row r="88" spans="1:20" ht="12.75">
      <c r="A88" s="292" t="s">
        <v>451</v>
      </c>
      <c r="B88" s="301" t="s">
        <v>534</v>
      </c>
      <c r="C88" s="301" t="s">
        <v>544</v>
      </c>
      <c r="D88" s="295">
        <v>27.01</v>
      </c>
      <c r="E88" s="270" t="s">
        <v>454</v>
      </c>
      <c r="F88" s="270">
        <v>1000</v>
      </c>
      <c r="G88" s="296">
        <f t="shared" si="8"/>
        <v>2.7010000000000003E-2</v>
      </c>
      <c r="O88" s="461"/>
      <c r="P88" s="68"/>
      <c r="Q88" s="65"/>
      <c r="R88" s="65"/>
      <c r="S88" s="461"/>
      <c r="T88" s="20"/>
    </row>
    <row r="89" spans="1:20" ht="12.75">
      <c r="A89" s="292" t="s">
        <v>451</v>
      </c>
      <c r="B89" s="301" t="s">
        <v>534</v>
      </c>
      <c r="C89" s="301" t="s">
        <v>545</v>
      </c>
      <c r="D89" s="295">
        <v>14.97</v>
      </c>
      <c r="E89" s="270" t="s">
        <v>454</v>
      </c>
      <c r="F89" s="270">
        <v>1000</v>
      </c>
      <c r="G89" s="296">
        <f t="shared" si="8"/>
        <v>1.4970000000000001E-2</v>
      </c>
      <c r="O89" s="461"/>
      <c r="P89" s="68"/>
      <c r="Q89" s="65"/>
      <c r="R89" s="70"/>
      <c r="S89" s="461"/>
      <c r="T89" s="20"/>
    </row>
    <row r="90" spans="1:20" ht="25.5">
      <c r="A90" s="292" t="s">
        <v>451</v>
      </c>
      <c r="B90" s="301" t="s">
        <v>534</v>
      </c>
      <c r="C90" s="301" t="s">
        <v>546</v>
      </c>
      <c r="D90" s="295">
        <v>84.81</v>
      </c>
      <c r="E90" s="270" t="s">
        <v>454</v>
      </c>
      <c r="F90" s="270">
        <v>1000</v>
      </c>
      <c r="G90" s="296">
        <f t="shared" si="8"/>
        <v>8.4809999999999997E-2</v>
      </c>
      <c r="O90" s="461"/>
      <c r="P90" s="68"/>
      <c r="Q90" s="65"/>
      <c r="R90" s="70"/>
      <c r="S90" s="461"/>
      <c r="T90" s="20"/>
    </row>
    <row r="91" spans="1:20" ht="12.75">
      <c r="A91" s="292" t="s">
        <v>451</v>
      </c>
      <c r="B91" s="301" t="s">
        <v>534</v>
      </c>
      <c r="C91" s="301" t="s">
        <v>547</v>
      </c>
      <c r="D91" s="295">
        <v>15.01</v>
      </c>
      <c r="E91" s="270" t="s">
        <v>454</v>
      </c>
      <c r="F91" s="270">
        <v>1000</v>
      </c>
      <c r="G91" s="296">
        <f t="shared" si="8"/>
        <v>1.5009999999999999E-2</v>
      </c>
      <c r="O91" s="461"/>
      <c r="P91" s="68"/>
      <c r="Q91" s="65"/>
      <c r="R91" s="70"/>
      <c r="S91" s="461"/>
      <c r="T91" s="20"/>
    </row>
    <row r="92" spans="1:20" ht="12.75">
      <c r="A92" s="292" t="s">
        <v>451</v>
      </c>
      <c r="B92" s="301" t="s">
        <v>534</v>
      </c>
      <c r="C92" s="301" t="s">
        <v>548</v>
      </c>
      <c r="D92" s="295">
        <v>11.29</v>
      </c>
      <c r="E92" s="270" t="s">
        <v>467</v>
      </c>
      <c r="F92" s="270">
        <f>IF(E92="Pisos acarpetados",1200,IF(E92="Pisos frios",1200,IF(E92="Laboratórios",450,IF(E92="Almoxarifados/galpões",2500,IF(E92="Oficinas",1800,IF(E92="Áreas com espaços livres - saguão hall e salão",1500,IF(E92="Banheiros",300,0)))))))</f>
        <v>300</v>
      </c>
      <c r="G92" s="296">
        <f t="shared" si="8"/>
        <v>3.7633333333333331E-2</v>
      </c>
      <c r="O92" s="461"/>
      <c r="P92" s="68"/>
      <c r="Q92" s="65"/>
      <c r="R92" s="65"/>
      <c r="S92" s="461"/>
      <c r="T92" s="20"/>
    </row>
    <row r="93" spans="1:20" ht="25.5">
      <c r="A93" s="292" t="s">
        <v>451</v>
      </c>
      <c r="B93" s="301" t="s">
        <v>534</v>
      </c>
      <c r="C93" s="301" t="s">
        <v>549</v>
      </c>
      <c r="D93" s="295">
        <v>1.5</v>
      </c>
      <c r="E93" s="270" t="s">
        <v>454</v>
      </c>
      <c r="F93" s="270">
        <v>1000</v>
      </c>
      <c r="G93" s="296">
        <f t="shared" si="8"/>
        <v>1.5E-3</v>
      </c>
      <c r="O93" s="579"/>
      <c r="P93" s="68"/>
      <c r="Q93" s="65"/>
      <c r="R93" s="70"/>
      <c r="S93" s="579"/>
      <c r="T93" s="20"/>
    </row>
    <row r="94" spans="1:20" ht="12.75">
      <c r="A94" s="292" t="s">
        <v>451</v>
      </c>
      <c r="B94" s="301" t="s">
        <v>534</v>
      </c>
      <c r="C94" s="301" t="s">
        <v>550</v>
      </c>
      <c r="D94" s="295">
        <v>8.67</v>
      </c>
      <c r="E94" s="270" t="s">
        <v>467</v>
      </c>
      <c r="F94" s="270">
        <f>IF(E94="Pisos acarpetados",1200,IF(E94="Pisos frios",1200,IF(E94="Laboratórios",450,IF(E94="Almoxarifados/galpões",2500,IF(E94="Oficinas",1800,IF(E94="Áreas com espaços livres - saguão hall e salão",1500,IF(E94="Banheiros",300,0)))))))</f>
        <v>300</v>
      </c>
      <c r="G94" s="296">
        <f t="shared" si="8"/>
        <v>2.8899999999999999E-2</v>
      </c>
      <c r="O94" s="461"/>
      <c r="P94" s="68"/>
      <c r="Q94" s="65"/>
      <c r="R94" s="70"/>
      <c r="S94" s="461"/>
      <c r="T94" s="20"/>
    </row>
    <row r="95" spans="1:20" ht="25.5">
      <c r="A95" s="292" t="s">
        <v>451</v>
      </c>
      <c r="B95" s="301" t="s">
        <v>534</v>
      </c>
      <c r="C95" s="301" t="s">
        <v>551</v>
      </c>
      <c r="D95" s="295">
        <v>1.56</v>
      </c>
      <c r="E95" s="270" t="s">
        <v>454</v>
      </c>
      <c r="F95" s="270">
        <v>1000</v>
      </c>
      <c r="G95" s="296">
        <f t="shared" si="8"/>
        <v>1.56E-3</v>
      </c>
      <c r="O95" s="461"/>
      <c r="P95" s="68"/>
      <c r="Q95" s="65"/>
      <c r="R95" s="70"/>
      <c r="S95" s="461"/>
      <c r="T95" s="20"/>
    </row>
    <row r="96" spans="1:20" ht="12.75">
      <c r="A96" s="292" t="s">
        <v>451</v>
      </c>
      <c r="B96" s="301" t="s">
        <v>534</v>
      </c>
      <c r="C96" s="301" t="s">
        <v>493</v>
      </c>
      <c r="D96" s="295">
        <v>6.16</v>
      </c>
      <c r="E96" s="270" t="s">
        <v>454</v>
      </c>
      <c r="F96" s="270">
        <v>1000</v>
      </c>
      <c r="G96" s="296">
        <f t="shared" si="8"/>
        <v>6.1600000000000005E-3</v>
      </c>
      <c r="O96" s="461"/>
      <c r="P96" s="68"/>
      <c r="Q96" s="65"/>
      <c r="R96" s="70"/>
      <c r="S96" s="461"/>
      <c r="T96" s="20"/>
    </row>
    <row r="97" spans="1:20" ht="25.5">
      <c r="A97" s="292" t="s">
        <v>451</v>
      </c>
      <c r="B97" s="301" t="s">
        <v>534</v>
      </c>
      <c r="C97" s="301" t="s">
        <v>494</v>
      </c>
      <c r="D97" s="295">
        <v>2.25</v>
      </c>
      <c r="E97" s="270" t="s">
        <v>454</v>
      </c>
      <c r="F97" s="270">
        <v>1000</v>
      </c>
      <c r="G97" s="296">
        <f t="shared" si="8"/>
        <v>2.2499999999999998E-3</v>
      </c>
      <c r="O97" s="461"/>
      <c r="P97" s="68"/>
      <c r="Q97" s="65"/>
      <c r="R97" s="70"/>
      <c r="S97" s="461"/>
      <c r="T97" s="20"/>
    </row>
    <row r="98" spans="1:20" ht="12.75">
      <c r="A98" s="292" t="s">
        <v>451</v>
      </c>
      <c r="B98" s="301" t="s">
        <v>534</v>
      </c>
      <c r="C98" s="301" t="s">
        <v>482</v>
      </c>
      <c r="D98" s="295">
        <v>10.63</v>
      </c>
      <c r="E98" s="270" t="s">
        <v>454</v>
      </c>
      <c r="F98" s="270">
        <v>1000</v>
      </c>
      <c r="G98" s="296">
        <f t="shared" si="8"/>
        <v>1.0630000000000001E-2</v>
      </c>
      <c r="O98" s="461"/>
      <c r="P98" s="68"/>
      <c r="Q98" s="65"/>
      <c r="R98" s="70"/>
      <c r="S98" s="461"/>
      <c r="T98" s="20"/>
    </row>
    <row r="99" spans="1:20" ht="12.75">
      <c r="A99" s="292" t="s">
        <v>451</v>
      </c>
      <c r="B99" s="301" t="s">
        <v>534</v>
      </c>
      <c r="C99" s="301" t="s">
        <v>496</v>
      </c>
      <c r="D99" s="295">
        <v>18.510000000000002</v>
      </c>
      <c r="E99" s="270" t="s">
        <v>454</v>
      </c>
      <c r="F99" s="270">
        <v>1000</v>
      </c>
      <c r="G99" s="296">
        <f t="shared" si="8"/>
        <v>1.8510000000000002E-2</v>
      </c>
    </row>
    <row r="100" spans="1:20" ht="12.75">
      <c r="A100" s="292" t="s">
        <v>451</v>
      </c>
      <c r="B100" s="301" t="s">
        <v>534</v>
      </c>
      <c r="C100" s="301" t="s">
        <v>518</v>
      </c>
      <c r="D100" s="295">
        <v>1.47</v>
      </c>
      <c r="E100" s="270" t="s">
        <v>489</v>
      </c>
      <c r="F100" s="270">
        <f>IF(E100="Pisos acarpetados",1200,IF(E100="Pisos frios",1200,IF(E100="Laboratórios",450,IF(E100="Almoxarifados/galpões",2500,IF(E100="Oficinas",1800,IF(E100="Áreas com espaços livres - saguão hall e salão",1500,IF(E100="Banheiros",300,0)))))))</f>
        <v>2500</v>
      </c>
      <c r="G100" s="296">
        <f t="shared" si="8"/>
        <v>5.8799999999999998E-4</v>
      </c>
    </row>
    <row r="101" spans="1:20" ht="12.75">
      <c r="A101" s="292" t="s">
        <v>451</v>
      </c>
      <c r="B101" s="301" t="s">
        <v>534</v>
      </c>
      <c r="C101" s="301" t="s">
        <v>482</v>
      </c>
      <c r="D101" s="295">
        <v>2.2000000000000002</v>
      </c>
      <c r="E101" s="270" t="s">
        <v>454</v>
      </c>
      <c r="F101" s="270">
        <v>1000</v>
      </c>
      <c r="G101" s="296">
        <f t="shared" si="8"/>
        <v>2.2000000000000001E-3</v>
      </c>
    </row>
    <row r="102" spans="1:20" ht="25.5">
      <c r="A102" s="292" t="s">
        <v>451</v>
      </c>
      <c r="B102" s="301" t="s">
        <v>534</v>
      </c>
      <c r="C102" s="301" t="s">
        <v>453</v>
      </c>
      <c r="D102" s="295">
        <v>52.82</v>
      </c>
      <c r="E102" s="270" t="s">
        <v>454</v>
      </c>
      <c r="F102" s="270">
        <v>1000</v>
      </c>
      <c r="G102" s="296">
        <f t="shared" si="8"/>
        <v>5.2819999999999999E-2</v>
      </c>
    </row>
    <row r="103" spans="1:20" ht="12.75">
      <c r="A103" s="292" t="s">
        <v>451</v>
      </c>
      <c r="B103" s="301" t="s">
        <v>552</v>
      </c>
      <c r="C103" s="301" t="s">
        <v>553</v>
      </c>
      <c r="D103" s="295">
        <v>43.27</v>
      </c>
      <c r="E103" s="270" t="s">
        <v>454</v>
      </c>
      <c r="F103" s="270">
        <v>1000</v>
      </c>
      <c r="G103" s="296">
        <f t="shared" si="8"/>
        <v>4.3270000000000003E-2</v>
      </c>
    </row>
    <row r="104" spans="1:20" ht="12.75">
      <c r="A104" s="292" t="s">
        <v>451</v>
      </c>
      <c r="B104" s="301" t="s">
        <v>552</v>
      </c>
      <c r="C104" s="301" t="s">
        <v>554</v>
      </c>
      <c r="D104" s="295">
        <v>2.19</v>
      </c>
      <c r="E104" s="270" t="s">
        <v>467</v>
      </c>
      <c r="F104" s="270">
        <f t="shared" ref="F104:F105" si="13">IF(E104="Pisos acarpetados",1200,IF(E104="Pisos frios",1200,IF(E104="Laboratórios",450,IF(E104="Almoxarifados/galpões",2500,IF(E104="Oficinas",1800,IF(E104="Áreas com espaços livres - saguão hall e salão",1500,IF(E104="Banheiros",300,0)))))))</f>
        <v>300</v>
      </c>
      <c r="G104" s="296">
        <f t="shared" si="8"/>
        <v>7.3000000000000001E-3</v>
      </c>
    </row>
    <row r="105" spans="1:20" ht="12.75">
      <c r="A105" s="292" t="s">
        <v>451</v>
      </c>
      <c r="B105" s="301" t="s">
        <v>552</v>
      </c>
      <c r="C105" s="301" t="s">
        <v>555</v>
      </c>
      <c r="D105" s="295">
        <v>2.19</v>
      </c>
      <c r="E105" s="270" t="s">
        <v>467</v>
      </c>
      <c r="F105" s="270">
        <f t="shared" si="13"/>
        <v>300</v>
      </c>
      <c r="G105" s="296">
        <f t="shared" si="8"/>
        <v>7.3000000000000001E-3</v>
      </c>
    </row>
    <row r="106" spans="1:20" ht="12.75">
      <c r="A106" s="292" t="s">
        <v>451</v>
      </c>
      <c r="B106" s="301" t="s">
        <v>552</v>
      </c>
      <c r="C106" s="301" t="s">
        <v>556</v>
      </c>
      <c r="D106" s="295">
        <v>16.93</v>
      </c>
      <c r="E106" s="270" t="s">
        <v>454</v>
      </c>
      <c r="F106" s="270">
        <v>1000</v>
      </c>
      <c r="G106" s="296">
        <f t="shared" si="8"/>
        <v>1.6930000000000001E-2</v>
      </c>
    </row>
    <row r="107" spans="1:20" ht="12.75">
      <c r="A107" s="292" t="s">
        <v>451</v>
      </c>
      <c r="B107" s="301" t="s">
        <v>552</v>
      </c>
      <c r="C107" s="301" t="s">
        <v>557</v>
      </c>
      <c r="D107" s="295">
        <v>24.79</v>
      </c>
      <c r="E107" s="270" t="s">
        <v>454</v>
      </c>
      <c r="F107" s="270">
        <v>1000</v>
      </c>
      <c r="G107" s="296">
        <f t="shared" si="8"/>
        <v>2.479E-2</v>
      </c>
    </row>
    <row r="108" spans="1:20" ht="12.75">
      <c r="A108" s="292" t="s">
        <v>451</v>
      </c>
      <c r="B108" s="301" t="s">
        <v>552</v>
      </c>
      <c r="C108" s="301" t="s">
        <v>558</v>
      </c>
      <c r="D108" s="295">
        <v>111.2</v>
      </c>
      <c r="E108" s="270" t="s">
        <v>454</v>
      </c>
      <c r="F108" s="270">
        <v>1000</v>
      </c>
      <c r="G108" s="296">
        <f t="shared" si="8"/>
        <v>0.11120000000000001</v>
      </c>
    </row>
    <row r="109" spans="1:20" ht="12.75">
      <c r="A109" s="292" t="s">
        <v>451</v>
      </c>
      <c r="B109" s="301" t="s">
        <v>552</v>
      </c>
      <c r="C109" s="301" t="s">
        <v>559</v>
      </c>
      <c r="D109" s="295">
        <v>55.06</v>
      </c>
      <c r="E109" s="270" t="s">
        <v>454</v>
      </c>
      <c r="F109" s="270">
        <v>1000</v>
      </c>
      <c r="G109" s="296">
        <f t="shared" si="8"/>
        <v>5.5060000000000005E-2</v>
      </c>
    </row>
    <row r="110" spans="1:20" ht="12.75">
      <c r="A110" s="292" t="s">
        <v>451</v>
      </c>
      <c r="B110" s="301" t="s">
        <v>552</v>
      </c>
      <c r="C110" s="301" t="s">
        <v>560</v>
      </c>
      <c r="D110" s="295">
        <v>14.76</v>
      </c>
      <c r="E110" s="270" t="s">
        <v>454</v>
      </c>
      <c r="F110" s="270">
        <v>1000</v>
      </c>
      <c r="G110" s="296">
        <f t="shared" si="8"/>
        <v>1.4760000000000001E-2</v>
      </c>
    </row>
    <row r="111" spans="1:20" ht="12.75">
      <c r="A111" s="292" t="s">
        <v>451</v>
      </c>
      <c r="B111" s="301" t="s">
        <v>552</v>
      </c>
      <c r="C111" s="301" t="s">
        <v>561</v>
      </c>
      <c r="D111" s="295">
        <v>48.39</v>
      </c>
      <c r="E111" s="270" t="s">
        <v>454</v>
      </c>
      <c r="F111" s="270">
        <v>1000</v>
      </c>
      <c r="G111" s="296">
        <f t="shared" si="8"/>
        <v>4.8390000000000002E-2</v>
      </c>
    </row>
    <row r="112" spans="1:20" ht="12.75">
      <c r="A112" s="292" t="s">
        <v>451</v>
      </c>
      <c r="B112" s="301" t="s">
        <v>552</v>
      </c>
      <c r="C112" s="301" t="s">
        <v>562</v>
      </c>
      <c r="D112" s="295">
        <v>21.57</v>
      </c>
      <c r="E112" s="270" t="s">
        <v>454</v>
      </c>
      <c r="F112" s="270">
        <v>1000</v>
      </c>
      <c r="G112" s="296">
        <f t="shared" si="8"/>
        <v>2.1569999999999999E-2</v>
      </c>
    </row>
    <row r="113" spans="1:7" ht="12.75">
      <c r="A113" s="292" t="s">
        <v>451</v>
      </c>
      <c r="B113" s="301" t="s">
        <v>552</v>
      </c>
      <c r="C113" s="301" t="s">
        <v>548</v>
      </c>
      <c r="D113" s="295">
        <v>9.27</v>
      </c>
      <c r="E113" s="270" t="s">
        <v>467</v>
      </c>
      <c r="F113" s="270">
        <f t="shared" ref="F113:F116" si="14">IF(E113="Pisos acarpetados",1200,IF(E113="Pisos frios",1200,IF(E113="Laboratórios",450,IF(E113="Almoxarifados/galpões",2500,IF(E113="Oficinas",1800,IF(E113="Áreas com espaços livres - saguão hall e salão",1500,IF(E113="Banheiros",300,0)))))))</f>
        <v>300</v>
      </c>
      <c r="G113" s="296">
        <f t="shared" si="8"/>
        <v>3.0899999999999997E-2</v>
      </c>
    </row>
    <row r="114" spans="1:7" ht="12.75">
      <c r="A114" s="292" t="s">
        <v>451</v>
      </c>
      <c r="B114" s="301" t="s">
        <v>552</v>
      </c>
      <c r="C114" s="301" t="s">
        <v>550</v>
      </c>
      <c r="D114" s="295">
        <v>8.43</v>
      </c>
      <c r="E114" s="270" t="s">
        <v>467</v>
      </c>
      <c r="F114" s="270">
        <f t="shared" si="14"/>
        <v>300</v>
      </c>
      <c r="G114" s="296">
        <f t="shared" si="8"/>
        <v>2.81E-2</v>
      </c>
    </row>
    <row r="115" spans="1:7" ht="25.5">
      <c r="A115" s="292" t="s">
        <v>451</v>
      </c>
      <c r="B115" s="301" t="s">
        <v>552</v>
      </c>
      <c r="C115" s="301" t="s">
        <v>551</v>
      </c>
      <c r="D115" s="295">
        <v>1.62</v>
      </c>
      <c r="E115" s="270" t="s">
        <v>467</v>
      </c>
      <c r="F115" s="270">
        <f t="shared" si="14"/>
        <v>300</v>
      </c>
      <c r="G115" s="296">
        <f t="shared" si="8"/>
        <v>5.4000000000000003E-3</v>
      </c>
    </row>
    <row r="116" spans="1:7" ht="12.75">
      <c r="A116" s="292" t="s">
        <v>451</v>
      </c>
      <c r="B116" s="301" t="s">
        <v>552</v>
      </c>
      <c r="C116" s="301" t="s">
        <v>563</v>
      </c>
      <c r="D116" s="295">
        <v>3.4</v>
      </c>
      <c r="E116" s="270" t="s">
        <v>467</v>
      </c>
      <c r="F116" s="270">
        <f t="shared" si="14"/>
        <v>300</v>
      </c>
      <c r="G116" s="296">
        <f t="shared" si="8"/>
        <v>1.1333333333333332E-2</v>
      </c>
    </row>
    <row r="117" spans="1:7" ht="25.5">
      <c r="A117" s="292" t="s">
        <v>451</v>
      </c>
      <c r="B117" s="301" t="s">
        <v>552</v>
      </c>
      <c r="C117" s="301" t="s">
        <v>494</v>
      </c>
      <c r="D117" s="295">
        <v>1.74</v>
      </c>
      <c r="E117" s="270" t="s">
        <v>454</v>
      </c>
      <c r="F117" s="270">
        <v>1000</v>
      </c>
      <c r="G117" s="296">
        <f t="shared" si="8"/>
        <v>1.74E-3</v>
      </c>
    </row>
    <row r="118" spans="1:7" ht="12.75">
      <c r="A118" s="292" t="s">
        <v>451</v>
      </c>
      <c r="B118" s="301" t="s">
        <v>552</v>
      </c>
      <c r="C118" s="301" t="s">
        <v>493</v>
      </c>
      <c r="D118" s="295">
        <v>6.23</v>
      </c>
      <c r="E118" s="270" t="s">
        <v>454</v>
      </c>
      <c r="F118" s="270">
        <v>1000</v>
      </c>
      <c r="G118" s="296">
        <f t="shared" si="8"/>
        <v>6.2300000000000003E-3</v>
      </c>
    </row>
    <row r="119" spans="1:7" ht="12.75">
      <c r="A119" s="292" t="s">
        <v>451</v>
      </c>
      <c r="B119" s="301" t="s">
        <v>552</v>
      </c>
      <c r="C119" s="301" t="s">
        <v>482</v>
      </c>
      <c r="D119" s="295">
        <v>10.48</v>
      </c>
      <c r="E119" s="270" t="s">
        <v>454</v>
      </c>
      <c r="F119" s="270">
        <v>1000</v>
      </c>
      <c r="G119" s="296">
        <f t="shared" si="8"/>
        <v>1.048E-2</v>
      </c>
    </row>
    <row r="120" spans="1:7" ht="12.75">
      <c r="A120" s="292" t="s">
        <v>451</v>
      </c>
      <c r="B120" s="301" t="s">
        <v>552</v>
      </c>
      <c r="C120" s="301" t="s">
        <v>496</v>
      </c>
      <c r="D120" s="295">
        <v>18.43</v>
      </c>
      <c r="E120" s="270" t="s">
        <v>454</v>
      </c>
      <c r="F120" s="270">
        <v>1000</v>
      </c>
      <c r="G120" s="296">
        <f t="shared" si="8"/>
        <v>1.8429999999999998E-2</v>
      </c>
    </row>
    <row r="121" spans="1:7" ht="12.75">
      <c r="A121" s="292" t="s">
        <v>451</v>
      </c>
      <c r="B121" s="301" t="s">
        <v>552</v>
      </c>
      <c r="C121" s="301" t="s">
        <v>517</v>
      </c>
      <c r="D121" s="295">
        <v>1.53</v>
      </c>
      <c r="E121" s="270" t="s">
        <v>489</v>
      </c>
      <c r="F121" s="270">
        <f>IF(E121="Pisos acarpetados",1200,IF(E121="Pisos frios",1200,IF(E121="Laboratórios",450,IF(E121="Almoxarifados/galpões",2500,IF(E121="Oficinas",1800,IF(E121="Áreas com espaços livres - saguão hall e salão",1500,IF(E121="Banheiros",300,0)))))))</f>
        <v>2500</v>
      </c>
      <c r="G121" s="296">
        <f t="shared" si="8"/>
        <v>6.1200000000000002E-4</v>
      </c>
    </row>
    <row r="122" spans="1:7" ht="12.75">
      <c r="A122" s="292" t="s">
        <v>451</v>
      </c>
      <c r="B122" s="301" t="s">
        <v>552</v>
      </c>
      <c r="C122" s="301" t="s">
        <v>482</v>
      </c>
      <c r="D122" s="295">
        <v>2.54</v>
      </c>
      <c r="E122" s="270" t="s">
        <v>454</v>
      </c>
      <c r="F122" s="270">
        <v>1000</v>
      </c>
      <c r="G122" s="296">
        <f t="shared" si="8"/>
        <v>2.5400000000000002E-3</v>
      </c>
    </row>
    <row r="123" spans="1:7" ht="25.5">
      <c r="A123" s="292" t="s">
        <v>451</v>
      </c>
      <c r="B123" s="301" t="s">
        <v>552</v>
      </c>
      <c r="C123" s="301" t="s">
        <v>453</v>
      </c>
      <c r="D123" s="295">
        <v>61.79</v>
      </c>
      <c r="E123" s="270" t="s">
        <v>454</v>
      </c>
      <c r="F123" s="270">
        <v>1000</v>
      </c>
      <c r="G123" s="296">
        <f t="shared" si="8"/>
        <v>6.1789999999999998E-2</v>
      </c>
    </row>
    <row r="124" spans="1:7" ht="12.75">
      <c r="A124" s="292" t="s">
        <v>451</v>
      </c>
      <c r="B124" s="294" t="s">
        <v>564</v>
      </c>
      <c r="C124" s="294" t="s">
        <v>565</v>
      </c>
      <c r="D124" s="318">
        <v>451.7</v>
      </c>
      <c r="E124" s="270" t="s">
        <v>454</v>
      </c>
      <c r="F124" s="270">
        <v>1000</v>
      </c>
      <c r="G124" s="296">
        <f t="shared" si="8"/>
        <v>0.45169999999999999</v>
      </c>
    </row>
    <row r="125" spans="1:7" ht="12.75">
      <c r="A125" s="292"/>
      <c r="B125" s="301"/>
      <c r="C125" s="301"/>
      <c r="D125" s="318"/>
      <c r="E125" s="270"/>
      <c r="F125" s="270"/>
      <c r="G125" s="296"/>
    </row>
    <row r="126" spans="1:7" ht="12.75">
      <c r="A126" s="292"/>
      <c r="B126" s="301"/>
      <c r="C126" s="301"/>
      <c r="D126" s="318"/>
      <c r="E126" s="270"/>
      <c r="F126" s="270"/>
      <c r="G126" s="296"/>
    </row>
    <row r="127" spans="1:7" ht="12.75">
      <c r="A127" s="604" t="s">
        <v>15</v>
      </c>
      <c r="B127" s="565"/>
      <c r="C127" s="566"/>
      <c r="D127" s="340">
        <f>SUM(D4:D126)</f>
        <v>3605.0800000000004</v>
      </c>
      <c r="E127" s="341"/>
      <c r="F127" s="341"/>
      <c r="G127" s="342">
        <f>SUM(G4:G126)</f>
        <v>4.3462708333333344</v>
      </c>
    </row>
  </sheetData>
  <customSheetViews>
    <customSheetView guid="{7A18F933-117B-4828-8643-1F67F11509EA}" filter="1" showAutoFilter="1">
      <pageMargins left="0.511811024" right="0.511811024" top="0.78740157499999996" bottom="0.78740157499999996" header="0.31496062000000002" footer="0.31496062000000002"/>
      <autoFilter ref="A1:G124" xr:uid="{00000000-0000-0000-0000-000000000000}">
        <filterColumn colId="4">
          <filters blank="1">
            <filter val="Almoxarifados/galpões"/>
            <filter val="Banheiros"/>
            <filter val="Descrição da áera"/>
          </filters>
        </filterColumn>
      </autoFilter>
    </customSheetView>
  </customSheetViews>
  <mergeCells count="58">
    <mergeCell ref="A127:C127"/>
    <mergeCell ref="S40:S45"/>
    <mergeCell ref="S46:S48"/>
    <mergeCell ref="Q26:Q28"/>
    <mergeCell ref="R26:R28"/>
    <mergeCell ref="O29:O39"/>
    <mergeCell ref="P32:P33"/>
    <mergeCell ref="Q32:Q33"/>
    <mergeCell ref="R32:R33"/>
    <mergeCell ref="O40:O45"/>
    <mergeCell ref="O10:T10"/>
    <mergeCell ref="S26:S28"/>
    <mergeCell ref="T26:T28"/>
    <mergeCell ref="T32:T33"/>
    <mergeCell ref="O11:T11"/>
    <mergeCell ref="O19:S19"/>
    <mergeCell ref="O20:S20"/>
    <mergeCell ref="O24:T24"/>
    <mergeCell ref="O25:T25"/>
    <mergeCell ref="O26:O28"/>
    <mergeCell ref="P26:P28"/>
    <mergeCell ref="S29:S39"/>
    <mergeCell ref="A1:G1"/>
    <mergeCell ref="I1:M1"/>
    <mergeCell ref="O1:T1"/>
    <mergeCell ref="A2:G2"/>
    <mergeCell ref="I2:M2"/>
    <mergeCell ref="O2:T2"/>
    <mergeCell ref="O93:O98"/>
    <mergeCell ref="S93:S98"/>
    <mergeCell ref="O73:O75"/>
    <mergeCell ref="O83:O85"/>
    <mergeCell ref="P83:P85"/>
    <mergeCell ref="Q83:Q85"/>
    <mergeCell ref="R83:R85"/>
    <mergeCell ref="O86:O92"/>
    <mergeCell ref="O78:Q78"/>
    <mergeCell ref="O79:T79"/>
    <mergeCell ref="O60:O66"/>
    <mergeCell ref="O67:O72"/>
    <mergeCell ref="O82:T82"/>
    <mergeCell ref="S83:S85"/>
    <mergeCell ref="S86:S92"/>
    <mergeCell ref="T83:T85"/>
    <mergeCell ref="O46:O48"/>
    <mergeCell ref="O51:R51"/>
    <mergeCell ref="O56:W56"/>
    <mergeCell ref="O57:O59"/>
    <mergeCell ref="P57:P59"/>
    <mergeCell ref="Q57:Q59"/>
    <mergeCell ref="R57:R59"/>
    <mergeCell ref="S57:S59"/>
    <mergeCell ref="T57:U57"/>
    <mergeCell ref="T58:T59"/>
    <mergeCell ref="U58:U59"/>
    <mergeCell ref="V57:W57"/>
    <mergeCell ref="V58:V59"/>
    <mergeCell ref="W58:W59"/>
  </mergeCells>
  <dataValidations count="3">
    <dataValidation type="list" allowBlank="1" showInputMessage="1" showErrorMessage="1" prompt="IN 05/2017, ANEXO VI-B, ITEM 3.2" sqref="K4:K10" xr:uid="{00000000-0002-0000-0B00-000000000000}">
      <formula1>"Pisos pavimentados adjacentes/contíguos às edificações,Varrição de passeios e arruamentos,Pátios e áreas verdes com alta frequência,Pátios e áreas verdes com média frequência,Pátios e áreas verdes com baixa frequência,coleta de detritos em pátios e áreas "&amp;"verdes com frequência diária"</formula1>
    </dataValidation>
    <dataValidation type="list" allowBlank="1" showInputMessage="1" showErrorMessage="1" prompt="IN 05/2017 - ANEXO VI-B, item 3.1." sqref="E4:E126" xr:uid="{00000000-0002-0000-0B00-000001000000}">
      <formula1>"Pisos acarpetados,Pisos frios,Laboratórios,Almoxarifados/galpões,Oficinas,Áreas com espaços livres - saguão hall e salão,Banheiros"</formula1>
    </dataValidation>
    <dataValidation type="decimal" operator="greaterThan" allowBlank="1" showDropDown="1" showInputMessage="1" showErrorMessage="1" prompt="Informe um número!" sqref="J4:J8 D4:D126" xr:uid="{00000000-0002-0000-0B00-000002000000}">
      <formula1>0</formula1>
    </dataValidation>
  </dataValidations>
  <pageMargins left="0.39370078740157477" right="0.39370078740157477" top="0" bottom="0" header="0" footer="0"/>
  <pageSetup paperSize="9" fitToHeight="0" pageOrder="overThenDown" orientation="portrait"/>
  <headerFooter>
    <oddHeader>&amp;CANEXO I - M - ÁREA REITORIA (44h Segunda à Sexta)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34A853"/>
    <outlinePr summaryBelow="0" summaryRight="0"/>
    <pageSetUpPr fitToPage="1"/>
  </sheetPr>
  <dimension ref="A1:X275"/>
  <sheetViews>
    <sheetView showGridLines="0" workbookViewId="0">
      <pane ySplit="3" topLeftCell="A244" activePane="bottomLeft" state="frozen"/>
      <selection pane="bottomLeft" activeCell="A4" sqref="A4:XFD274"/>
    </sheetView>
  </sheetViews>
  <sheetFormatPr defaultColWidth="14.42578125" defaultRowHeight="15" customHeight="1"/>
  <cols>
    <col min="1" max="1" width="23.7109375" customWidth="1"/>
    <col min="5" max="5" width="22.140625" customWidth="1"/>
    <col min="6" max="6" width="22.85546875" customWidth="1"/>
    <col min="7" max="7" width="15.5703125" customWidth="1"/>
    <col min="11" max="11" width="54.28515625" customWidth="1"/>
    <col min="12" max="12" width="22.85546875" customWidth="1"/>
    <col min="13" max="13" width="15.5703125" customWidth="1"/>
    <col min="15" max="15" width="37.140625" customWidth="1"/>
    <col min="16" max="16" width="51.42578125" customWidth="1"/>
    <col min="17" max="17" width="16.28515625" customWidth="1"/>
    <col min="18" max="18" width="32.7109375" customWidth="1"/>
    <col min="19" max="19" width="43.5703125" customWidth="1"/>
    <col min="20" max="20" width="36.42578125" customWidth="1"/>
    <col min="21" max="21" width="20.85546875" customWidth="1"/>
    <col min="22" max="22" width="21.5703125" customWidth="1"/>
    <col min="23" max="23" width="19.42578125" customWidth="1"/>
    <col min="24" max="24" width="4.85546875" customWidth="1"/>
  </cols>
  <sheetData>
    <row r="1" spans="1:20">
      <c r="A1" s="580" t="s">
        <v>52</v>
      </c>
      <c r="B1" s="568"/>
      <c r="C1" s="568"/>
      <c r="D1" s="568"/>
      <c r="E1" s="568"/>
      <c r="F1" s="568"/>
      <c r="G1" s="569"/>
      <c r="I1" s="581" t="s">
        <v>52</v>
      </c>
      <c r="J1" s="430"/>
      <c r="K1" s="430"/>
      <c r="L1" s="430"/>
      <c r="M1" s="430"/>
      <c r="O1" s="582" t="s">
        <v>52</v>
      </c>
      <c r="P1" s="549"/>
      <c r="Q1" s="549"/>
      <c r="R1" s="549"/>
      <c r="S1" s="549"/>
      <c r="T1" s="583"/>
    </row>
    <row r="2" spans="1:20">
      <c r="A2" s="584" t="s">
        <v>59</v>
      </c>
      <c r="B2" s="434"/>
      <c r="C2" s="434"/>
      <c r="D2" s="434"/>
      <c r="E2" s="434"/>
      <c r="F2" s="434"/>
      <c r="G2" s="585"/>
      <c r="I2" s="586" t="s">
        <v>60</v>
      </c>
      <c r="J2" s="434"/>
      <c r="K2" s="434"/>
      <c r="L2" s="434"/>
      <c r="M2" s="435"/>
      <c r="O2" s="587" t="s">
        <v>61</v>
      </c>
      <c r="P2" s="434"/>
      <c r="Q2" s="434"/>
      <c r="R2" s="434"/>
      <c r="S2" s="434"/>
      <c r="T2" s="588"/>
    </row>
    <row r="3" spans="1:20" ht="30">
      <c r="A3" s="281" t="s">
        <v>438</v>
      </c>
      <c r="B3" s="282" t="s">
        <v>439</v>
      </c>
      <c r="C3" s="282" t="s">
        <v>440</v>
      </c>
      <c r="D3" s="282" t="s">
        <v>441</v>
      </c>
      <c r="E3" s="282" t="s">
        <v>442</v>
      </c>
      <c r="F3" s="282" t="s">
        <v>443</v>
      </c>
      <c r="G3" s="283" t="s">
        <v>444</v>
      </c>
      <c r="I3" s="284" t="s">
        <v>445</v>
      </c>
      <c r="J3" s="285" t="s">
        <v>441</v>
      </c>
      <c r="K3" s="286" t="s">
        <v>442</v>
      </c>
      <c r="L3" s="282" t="s">
        <v>443</v>
      </c>
      <c r="M3" s="287" t="s">
        <v>444</v>
      </c>
      <c r="O3" s="288" t="s">
        <v>2</v>
      </c>
      <c r="P3" s="289" t="s">
        <v>446</v>
      </c>
      <c r="Q3" s="289" t="s">
        <v>447</v>
      </c>
      <c r="R3" s="302" t="s">
        <v>448</v>
      </c>
      <c r="S3" s="302" t="s">
        <v>449</v>
      </c>
      <c r="T3" s="291" t="s">
        <v>450</v>
      </c>
    </row>
    <row r="4" spans="1:20" ht="25.5">
      <c r="A4" s="343" t="s">
        <v>566</v>
      </c>
      <c r="B4" s="344" t="s">
        <v>567</v>
      </c>
      <c r="C4" s="344" t="s">
        <v>568</v>
      </c>
      <c r="D4" s="345">
        <v>144</v>
      </c>
      <c r="E4" s="314" t="s">
        <v>489</v>
      </c>
      <c r="F4" s="270">
        <f t="shared" ref="F4:F271" si="0">IF(E4="Pisos acarpetados",1200,IF(E4="Pisos frios",1200,IF(E4="Laboratórios",450,IF(E4="Almoxarifados/galpões",2500,IF(E4="Oficinas",1800,IF(E4="Áreas com espaços livres - saguão hall e salão",1500,IF(E4="Banheiros",300,0)))))))</f>
        <v>2500</v>
      </c>
      <c r="G4" s="296">
        <f t="shared" ref="G4:G272" si="1">D4/F4</f>
        <v>5.7599999999999998E-2</v>
      </c>
      <c r="I4" s="346" t="s">
        <v>569</v>
      </c>
      <c r="J4" s="314">
        <v>489.6</v>
      </c>
      <c r="K4" s="314" t="s">
        <v>475</v>
      </c>
      <c r="L4" s="269">
        <f t="shared" ref="L4:L10" si="2">IF(K4="Pisos pavimentados adjacentes/contíguos às edificações",2700,IF(K4="Varrição de passeios e arruamentos",9000,IF(K4="Pátios e áreas verdes com alta frequência",2700,IF(K4="Pátios e áreas verdes com média frequência",2700,IF(K4="Pátios e áreas verdes com baixa frequência",2700,IF(K4="coleta de detritos em pátios e áreas verdes com frequência diária",100000,0))))))</f>
        <v>9000</v>
      </c>
      <c r="M4" s="269">
        <f t="shared" ref="M4:M10" si="3">J4/L4</f>
        <v>5.4400000000000004E-2</v>
      </c>
      <c r="O4" s="297" t="s">
        <v>457</v>
      </c>
      <c r="P4" s="347">
        <v>1468.08</v>
      </c>
      <c r="Q4" s="270">
        <v>380</v>
      </c>
      <c r="R4" s="270">
        <v>8</v>
      </c>
      <c r="S4" s="299">
        <v>1132.5999999999999</v>
      </c>
      <c r="T4" s="300">
        <f>(P4*R4)/(Q4*S4)</f>
        <v>2.7288493173601498E-2</v>
      </c>
    </row>
    <row r="5" spans="1:20" ht="30">
      <c r="A5" s="343" t="s">
        <v>566</v>
      </c>
      <c r="B5" s="344" t="s">
        <v>567</v>
      </c>
      <c r="C5" s="344" t="s">
        <v>570</v>
      </c>
      <c r="D5" s="345">
        <v>20.100000000000001</v>
      </c>
      <c r="E5" s="314" t="s">
        <v>489</v>
      </c>
      <c r="F5" s="270">
        <f t="shared" si="0"/>
        <v>2500</v>
      </c>
      <c r="G5" s="296">
        <f t="shared" si="1"/>
        <v>8.0400000000000003E-3</v>
      </c>
      <c r="I5" s="346" t="s">
        <v>571</v>
      </c>
      <c r="J5" s="314">
        <v>521.99</v>
      </c>
      <c r="K5" s="314" t="s">
        <v>475</v>
      </c>
      <c r="L5" s="269">
        <f t="shared" si="2"/>
        <v>9000</v>
      </c>
      <c r="M5" s="269">
        <f t="shared" si="3"/>
        <v>5.7998888888888891E-2</v>
      </c>
      <c r="O5" s="288" t="s">
        <v>2</v>
      </c>
      <c r="P5" s="289" t="s">
        <v>446</v>
      </c>
      <c r="Q5" s="289" t="s">
        <v>447</v>
      </c>
      <c r="R5" s="302" t="s">
        <v>461</v>
      </c>
      <c r="S5" s="302" t="s">
        <v>462</v>
      </c>
      <c r="T5" s="291" t="s">
        <v>450</v>
      </c>
    </row>
    <row r="6" spans="1:20" ht="25.5">
      <c r="A6" s="343" t="s">
        <v>566</v>
      </c>
      <c r="B6" s="344" t="s">
        <v>567</v>
      </c>
      <c r="C6" s="344" t="s">
        <v>572</v>
      </c>
      <c r="D6" s="345">
        <v>33.799999999999997</v>
      </c>
      <c r="E6" s="314" t="s">
        <v>573</v>
      </c>
      <c r="F6" s="270">
        <f t="shared" si="0"/>
        <v>1500</v>
      </c>
      <c r="G6" s="296">
        <f t="shared" si="1"/>
        <v>2.2533333333333332E-2</v>
      </c>
      <c r="I6" s="346" t="s">
        <v>574</v>
      </c>
      <c r="J6" s="348">
        <v>6843</v>
      </c>
      <c r="K6" s="314" t="s">
        <v>475</v>
      </c>
      <c r="L6" s="269">
        <f t="shared" si="2"/>
        <v>9000</v>
      </c>
      <c r="M6" s="269">
        <f t="shared" si="3"/>
        <v>0.76033333333333331</v>
      </c>
      <c r="O6" s="349" t="s">
        <v>575</v>
      </c>
      <c r="P6" s="350">
        <v>1468.08</v>
      </c>
      <c r="Q6" s="351">
        <v>380</v>
      </c>
      <c r="R6" s="351">
        <v>16</v>
      </c>
      <c r="S6" s="351">
        <v>188.76</v>
      </c>
      <c r="T6" s="352">
        <f>(P6*R6)/(Q6*S6)</f>
        <v>0.32747348345434468</v>
      </c>
    </row>
    <row r="7" spans="1:20" ht="25.5">
      <c r="A7" s="343" t="s">
        <v>566</v>
      </c>
      <c r="B7" s="344" t="s">
        <v>567</v>
      </c>
      <c r="C7" s="344" t="s">
        <v>576</v>
      </c>
      <c r="D7" s="345">
        <v>4.55</v>
      </c>
      <c r="E7" s="314" t="s">
        <v>467</v>
      </c>
      <c r="F7" s="270">
        <f t="shared" si="0"/>
        <v>300</v>
      </c>
      <c r="G7" s="296">
        <f t="shared" si="1"/>
        <v>1.5166666666666667E-2</v>
      </c>
      <c r="I7" s="346" t="s">
        <v>577</v>
      </c>
      <c r="J7" s="270">
        <v>33.6</v>
      </c>
      <c r="K7" s="270" t="s">
        <v>475</v>
      </c>
      <c r="L7" s="269">
        <f t="shared" si="2"/>
        <v>9000</v>
      </c>
      <c r="M7" s="269">
        <f t="shared" si="3"/>
        <v>3.7333333333333333E-3</v>
      </c>
      <c r="O7" s="303" t="s">
        <v>15</v>
      </c>
      <c r="P7" s="353">
        <f>P4+P6</f>
        <v>2936.16</v>
      </c>
      <c r="Q7" s="304"/>
      <c r="R7" s="304"/>
      <c r="S7" s="304"/>
      <c r="T7" s="305">
        <f>T4+T6</f>
        <v>0.35476197662794617</v>
      </c>
    </row>
    <row r="8" spans="1:20" ht="51">
      <c r="A8" s="343" t="s">
        <v>566</v>
      </c>
      <c r="B8" s="344" t="s">
        <v>578</v>
      </c>
      <c r="C8" s="344" t="s">
        <v>579</v>
      </c>
      <c r="D8" s="345">
        <v>232.1</v>
      </c>
      <c r="E8" s="314" t="s">
        <v>573</v>
      </c>
      <c r="F8" s="270">
        <f t="shared" si="0"/>
        <v>1500</v>
      </c>
      <c r="G8" s="296">
        <f t="shared" si="1"/>
        <v>0.15473333333333333</v>
      </c>
      <c r="I8" s="346" t="s">
        <v>580</v>
      </c>
      <c r="J8" s="270">
        <v>16.32</v>
      </c>
      <c r="K8" s="270" t="s">
        <v>475</v>
      </c>
      <c r="L8" s="269">
        <f t="shared" si="2"/>
        <v>9000</v>
      </c>
      <c r="M8" s="269">
        <f t="shared" si="3"/>
        <v>1.8133333333333335E-3</v>
      </c>
    </row>
    <row r="9" spans="1:20" ht="25.5">
      <c r="A9" s="343" t="s">
        <v>566</v>
      </c>
      <c r="B9" s="344" t="s">
        <v>578</v>
      </c>
      <c r="C9" s="344" t="s">
        <v>581</v>
      </c>
      <c r="D9" s="345">
        <v>27.7</v>
      </c>
      <c r="E9" s="314" t="s">
        <v>582</v>
      </c>
      <c r="F9" s="270">
        <f t="shared" si="0"/>
        <v>1200</v>
      </c>
      <c r="G9" s="296">
        <f t="shared" si="1"/>
        <v>2.3083333333333334E-2</v>
      </c>
      <c r="I9" s="346" t="s">
        <v>583</v>
      </c>
      <c r="J9" s="270">
        <v>33.6</v>
      </c>
      <c r="K9" s="270" t="s">
        <v>475</v>
      </c>
      <c r="L9" s="269">
        <f t="shared" si="2"/>
        <v>9000</v>
      </c>
      <c r="M9" s="269">
        <f t="shared" si="3"/>
        <v>3.7333333333333333E-3</v>
      </c>
      <c r="O9" s="354"/>
      <c r="Q9" s="310"/>
      <c r="R9" s="310"/>
      <c r="S9" s="310"/>
      <c r="T9" s="311"/>
    </row>
    <row r="10" spans="1:20" ht="51">
      <c r="A10" s="343" t="s">
        <v>566</v>
      </c>
      <c r="B10" s="344" t="s">
        <v>578</v>
      </c>
      <c r="C10" s="344" t="s">
        <v>584</v>
      </c>
      <c r="D10" s="345">
        <v>27.7</v>
      </c>
      <c r="E10" s="314" t="s">
        <v>582</v>
      </c>
      <c r="F10" s="270">
        <f t="shared" si="0"/>
        <v>1200</v>
      </c>
      <c r="G10" s="296">
        <f t="shared" si="1"/>
        <v>2.3083333333333334E-2</v>
      </c>
      <c r="I10" s="355" t="s">
        <v>585</v>
      </c>
      <c r="J10" s="351">
        <v>16.32</v>
      </c>
      <c r="K10" s="351" t="s">
        <v>475</v>
      </c>
      <c r="L10" s="269">
        <f t="shared" si="2"/>
        <v>9000</v>
      </c>
      <c r="M10" s="269">
        <f t="shared" si="3"/>
        <v>1.8133333333333335E-3</v>
      </c>
    </row>
    <row r="11" spans="1:20" ht="12.75">
      <c r="A11" s="343" t="s">
        <v>566</v>
      </c>
      <c r="B11" s="344" t="s">
        <v>578</v>
      </c>
      <c r="C11" s="344" t="s">
        <v>586</v>
      </c>
      <c r="D11" s="345">
        <v>56.8</v>
      </c>
      <c r="E11" s="314" t="s">
        <v>582</v>
      </c>
      <c r="F11" s="270">
        <f t="shared" si="0"/>
        <v>1200</v>
      </c>
      <c r="G11" s="296">
        <f t="shared" si="1"/>
        <v>4.7333333333333331E-2</v>
      </c>
      <c r="I11" s="356" t="s">
        <v>15</v>
      </c>
      <c r="J11" s="356">
        <f>SUM(J4:J10)</f>
        <v>7954.43</v>
      </c>
      <c r="K11" s="356"/>
      <c r="L11" s="357"/>
      <c r="M11" s="357">
        <f>SUM(M4:M10)</f>
        <v>0.88382555555555564</v>
      </c>
    </row>
    <row r="12" spans="1:20">
      <c r="A12" s="343" t="s">
        <v>566</v>
      </c>
      <c r="B12" s="344" t="s">
        <v>578</v>
      </c>
      <c r="C12" s="344" t="s">
        <v>587</v>
      </c>
      <c r="D12" s="345">
        <v>28.4</v>
      </c>
      <c r="E12" s="314" t="s">
        <v>582</v>
      </c>
      <c r="F12" s="270">
        <f t="shared" si="0"/>
        <v>1200</v>
      </c>
      <c r="G12" s="296">
        <f t="shared" si="1"/>
        <v>2.3666666666666666E-2</v>
      </c>
      <c r="I12" s="358"/>
      <c r="J12" s="359"/>
      <c r="K12" s="359"/>
      <c r="L12" s="319"/>
      <c r="M12" s="319"/>
      <c r="O12" s="589" t="s">
        <v>52</v>
      </c>
      <c r="P12" s="568"/>
      <c r="Q12" s="568"/>
      <c r="R12" s="568"/>
      <c r="S12" s="568"/>
      <c r="T12" s="569"/>
    </row>
    <row r="13" spans="1:20">
      <c r="A13" s="343" t="s">
        <v>566</v>
      </c>
      <c r="B13" s="344" t="s">
        <v>578</v>
      </c>
      <c r="C13" s="344" t="s">
        <v>588</v>
      </c>
      <c r="D13" s="345">
        <v>28.3</v>
      </c>
      <c r="E13" s="314" t="s">
        <v>582</v>
      </c>
      <c r="F13" s="270">
        <f t="shared" si="0"/>
        <v>1200</v>
      </c>
      <c r="G13" s="296">
        <f t="shared" si="1"/>
        <v>2.3583333333333335E-2</v>
      </c>
      <c r="I13" s="358"/>
      <c r="J13" s="359"/>
      <c r="K13" s="359"/>
      <c r="L13" s="319"/>
      <c r="M13" s="319"/>
      <c r="O13" s="593" t="s">
        <v>62</v>
      </c>
      <c r="P13" s="434"/>
      <c r="Q13" s="434"/>
      <c r="R13" s="434"/>
      <c r="S13" s="434"/>
      <c r="T13" s="585"/>
    </row>
    <row r="14" spans="1:20" ht="30">
      <c r="A14" s="343" t="s">
        <v>566</v>
      </c>
      <c r="B14" s="344" t="s">
        <v>578</v>
      </c>
      <c r="C14" s="344" t="s">
        <v>589</v>
      </c>
      <c r="D14" s="345">
        <v>56.5</v>
      </c>
      <c r="E14" s="314" t="s">
        <v>582</v>
      </c>
      <c r="F14" s="270">
        <f t="shared" si="0"/>
        <v>1200</v>
      </c>
      <c r="G14" s="296">
        <f t="shared" si="1"/>
        <v>4.7083333333333331E-2</v>
      </c>
      <c r="I14" s="358"/>
      <c r="J14" s="359"/>
      <c r="K14" s="359"/>
      <c r="L14" s="319"/>
      <c r="M14" s="319"/>
      <c r="O14" s="312" t="s">
        <v>2</v>
      </c>
      <c r="P14" s="289" t="s">
        <v>446</v>
      </c>
      <c r="Q14" s="289" t="s">
        <v>447</v>
      </c>
      <c r="R14" s="302" t="s">
        <v>448</v>
      </c>
      <c r="S14" s="302" t="s">
        <v>449</v>
      </c>
      <c r="T14" s="313" t="s">
        <v>478</v>
      </c>
    </row>
    <row r="15" spans="1:20" ht="12.75">
      <c r="A15" s="343" t="s">
        <v>566</v>
      </c>
      <c r="B15" s="344" t="s">
        <v>578</v>
      </c>
      <c r="C15" s="344" t="s">
        <v>590</v>
      </c>
      <c r="D15" s="345">
        <v>18</v>
      </c>
      <c r="E15" s="314" t="s">
        <v>582</v>
      </c>
      <c r="F15" s="270">
        <f t="shared" si="0"/>
        <v>1200</v>
      </c>
      <c r="G15" s="296">
        <f t="shared" si="1"/>
        <v>1.4999999999999999E-2</v>
      </c>
      <c r="I15" s="360" t="s">
        <v>15</v>
      </c>
      <c r="J15" s="360"/>
      <c r="K15" s="360"/>
      <c r="L15" s="337"/>
      <c r="M15" s="337"/>
      <c r="O15" s="270" t="s">
        <v>47</v>
      </c>
      <c r="P15" s="347">
        <v>5319.6</v>
      </c>
      <c r="Q15" s="270">
        <v>160</v>
      </c>
      <c r="R15" s="270">
        <v>8</v>
      </c>
      <c r="S15" s="299">
        <v>1132.5999999999999</v>
      </c>
      <c r="T15" s="269">
        <f t="shared" ref="T15:T16" si="4">(P15*R15)/(Q15*S15)</f>
        <v>0.23484019071163695</v>
      </c>
    </row>
    <row r="16" spans="1:20" ht="25.5">
      <c r="A16" s="343" t="s">
        <v>566</v>
      </c>
      <c r="B16" s="344" t="s">
        <v>578</v>
      </c>
      <c r="C16" s="344" t="s">
        <v>591</v>
      </c>
      <c r="D16" s="345">
        <v>23.9</v>
      </c>
      <c r="E16" s="314" t="s">
        <v>582</v>
      </c>
      <c r="F16" s="270">
        <f t="shared" si="0"/>
        <v>1200</v>
      </c>
      <c r="G16" s="296">
        <f t="shared" si="1"/>
        <v>1.9916666666666666E-2</v>
      </c>
      <c r="I16" s="358"/>
      <c r="J16" s="359"/>
      <c r="K16" s="359"/>
      <c r="L16" s="319"/>
      <c r="M16" s="319"/>
      <c r="O16" s="314" t="s">
        <v>592</v>
      </c>
      <c r="P16" s="298">
        <v>0</v>
      </c>
      <c r="Q16" s="270">
        <v>160</v>
      </c>
      <c r="R16" s="270">
        <v>8</v>
      </c>
      <c r="S16" s="299">
        <v>1132.5999999999999</v>
      </c>
      <c r="T16" s="269">
        <f t="shared" si="4"/>
        <v>0</v>
      </c>
    </row>
    <row r="17" spans="1:20" ht="12.75">
      <c r="A17" s="343" t="s">
        <v>566</v>
      </c>
      <c r="B17" s="344" t="s">
        <v>578</v>
      </c>
      <c r="C17" s="344" t="s">
        <v>593</v>
      </c>
      <c r="D17" s="345">
        <v>13.7</v>
      </c>
      <c r="E17" s="314" t="s">
        <v>582</v>
      </c>
      <c r="F17" s="270">
        <f t="shared" si="0"/>
        <v>1200</v>
      </c>
      <c r="G17" s="296">
        <f t="shared" si="1"/>
        <v>1.1416666666666665E-2</v>
      </c>
      <c r="I17" s="361"/>
      <c r="J17" s="362"/>
      <c r="K17" s="363"/>
      <c r="L17" s="311"/>
      <c r="M17" s="311"/>
      <c r="O17" s="303" t="s">
        <v>15</v>
      </c>
      <c r="P17" s="353">
        <f>SUM(P15:P16)</f>
        <v>5319.6</v>
      </c>
      <c r="Q17" s="304"/>
      <c r="R17" s="304"/>
      <c r="S17" s="304"/>
      <c r="T17" s="305">
        <f>SUM(T15:T16)</f>
        <v>0.23484019071163695</v>
      </c>
    </row>
    <row r="18" spans="1:20">
      <c r="A18" s="343" t="s">
        <v>566</v>
      </c>
      <c r="B18" s="344" t="s">
        <v>578</v>
      </c>
      <c r="C18" s="344" t="s">
        <v>594</v>
      </c>
      <c r="D18" s="345">
        <v>27.5</v>
      </c>
      <c r="E18" s="314" t="s">
        <v>582</v>
      </c>
      <c r="F18" s="270">
        <f t="shared" si="0"/>
        <v>1200</v>
      </c>
      <c r="G18" s="296">
        <f t="shared" si="1"/>
        <v>2.2916666666666665E-2</v>
      </c>
      <c r="I18" s="361"/>
      <c r="J18" s="362"/>
      <c r="K18" s="363"/>
      <c r="L18" s="311"/>
      <c r="M18" s="311"/>
      <c r="T18" s="317"/>
    </row>
    <row r="19" spans="1:20" ht="12.75">
      <c r="A19" s="343" t="s">
        <v>566</v>
      </c>
      <c r="B19" s="344" t="s">
        <v>578</v>
      </c>
      <c r="C19" s="344" t="s">
        <v>595</v>
      </c>
      <c r="D19" s="345">
        <v>8.1999999999999993</v>
      </c>
      <c r="E19" s="314" t="s">
        <v>582</v>
      </c>
      <c r="F19" s="270">
        <f t="shared" si="0"/>
        <v>1200</v>
      </c>
      <c r="G19" s="296">
        <f t="shared" si="1"/>
        <v>6.8333333333333328E-3</v>
      </c>
      <c r="I19" s="361"/>
      <c r="J19" s="362"/>
      <c r="K19" s="363"/>
      <c r="L19" s="311"/>
      <c r="M19" s="311"/>
      <c r="O19" s="567" t="s">
        <v>52</v>
      </c>
      <c r="P19" s="568"/>
      <c r="Q19" s="568"/>
      <c r="R19" s="568"/>
      <c r="S19" s="569"/>
      <c r="T19" s="319"/>
    </row>
    <row r="20" spans="1:20" ht="25.5">
      <c r="A20" s="343" t="s">
        <v>566</v>
      </c>
      <c r="B20" s="344" t="s">
        <v>578</v>
      </c>
      <c r="C20" s="344" t="s">
        <v>596</v>
      </c>
      <c r="D20" s="345">
        <v>16.600000000000001</v>
      </c>
      <c r="E20" s="314" t="s">
        <v>582</v>
      </c>
      <c r="F20" s="270">
        <f t="shared" si="0"/>
        <v>1200</v>
      </c>
      <c r="G20" s="296">
        <f t="shared" si="1"/>
        <v>1.3833333333333335E-2</v>
      </c>
      <c r="I20" s="361"/>
      <c r="J20" s="362"/>
      <c r="K20" s="363"/>
      <c r="L20" s="311"/>
      <c r="M20" s="311"/>
      <c r="O20" s="594" t="s">
        <v>63</v>
      </c>
      <c r="P20" s="434"/>
      <c r="Q20" s="434"/>
      <c r="R20" s="434"/>
      <c r="S20" s="585"/>
      <c r="T20" s="67"/>
    </row>
    <row r="21" spans="1:20" ht="12.75">
      <c r="A21" s="343" t="s">
        <v>566</v>
      </c>
      <c r="B21" s="344" t="s">
        <v>578</v>
      </c>
      <c r="C21" s="344" t="s">
        <v>597</v>
      </c>
      <c r="D21" s="345">
        <v>53.8</v>
      </c>
      <c r="E21" s="314" t="s">
        <v>489</v>
      </c>
      <c r="F21" s="270">
        <f t="shared" si="0"/>
        <v>2500</v>
      </c>
      <c r="G21" s="296">
        <f t="shared" si="1"/>
        <v>2.1519999999999997E-2</v>
      </c>
      <c r="I21" s="361"/>
      <c r="J21" s="362"/>
      <c r="K21" s="363"/>
      <c r="L21" s="311"/>
      <c r="M21" s="311"/>
      <c r="O21" s="320" t="s">
        <v>445</v>
      </c>
      <c r="P21" s="321" t="s">
        <v>441</v>
      </c>
      <c r="Q21" s="282" t="s">
        <v>442</v>
      </c>
      <c r="R21" s="282" t="s">
        <v>443</v>
      </c>
      <c r="S21" s="283" t="s">
        <v>444</v>
      </c>
    </row>
    <row r="22" spans="1:20" ht="25.5">
      <c r="A22" s="343" t="s">
        <v>566</v>
      </c>
      <c r="B22" s="344" t="s">
        <v>578</v>
      </c>
      <c r="C22" s="344" t="s">
        <v>598</v>
      </c>
      <c r="D22" s="345">
        <v>106.9</v>
      </c>
      <c r="E22" s="314" t="s">
        <v>582</v>
      </c>
      <c r="F22" s="270">
        <f t="shared" si="0"/>
        <v>1200</v>
      </c>
      <c r="G22" s="296">
        <f t="shared" si="1"/>
        <v>8.9083333333333334E-2</v>
      </c>
      <c r="I22" s="361"/>
      <c r="J22" s="362"/>
      <c r="K22" s="363"/>
      <c r="L22" s="311"/>
      <c r="M22" s="311"/>
      <c r="O22" s="322"/>
      <c r="P22" s="323">
        <v>0</v>
      </c>
      <c r="Q22" s="324" t="s">
        <v>48</v>
      </c>
      <c r="R22" s="82">
        <v>450</v>
      </c>
      <c r="S22" s="325">
        <f>P22/R22</f>
        <v>0</v>
      </c>
    </row>
    <row r="23" spans="1:20" ht="12.75">
      <c r="A23" s="343" t="s">
        <v>566</v>
      </c>
      <c r="B23" s="344" t="s">
        <v>578</v>
      </c>
      <c r="C23" s="344" t="s">
        <v>599</v>
      </c>
      <c r="D23" s="345">
        <v>2.9</v>
      </c>
      <c r="E23" s="314" t="s">
        <v>467</v>
      </c>
      <c r="F23" s="270">
        <f t="shared" si="0"/>
        <v>300</v>
      </c>
      <c r="G23" s="296">
        <f t="shared" si="1"/>
        <v>9.6666666666666672E-3</v>
      </c>
      <c r="I23" s="361"/>
      <c r="J23" s="362"/>
      <c r="K23" s="363"/>
      <c r="L23" s="311"/>
      <c r="M23" s="311"/>
    </row>
    <row r="24" spans="1:20" ht="12.75">
      <c r="A24" s="343" t="s">
        <v>566</v>
      </c>
      <c r="B24" s="344" t="s">
        <v>578</v>
      </c>
      <c r="C24" s="344" t="s">
        <v>600</v>
      </c>
      <c r="D24" s="345">
        <v>2.9</v>
      </c>
      <c r="E24" s="314" t="s">
        <v>467</v>
      </c>
      <c r="F24" s="270">
        <f t="shared" si="0"/>
        <v>300</v>
      </c>
      <c r="G24" s="296">
        <f t="shared" si="1"/>
        <v>9.6666666666666672E-3</v>
      </c>
      <c r="I24" s="361"/>
      <c r="J24" s="362"/>
      <c r="K24" s="363"/>
      <c r="L24" s="311"/>
      <c r="M24" s="311"/>
      <c r="O24" s="567" t="s">
        <v>52</v>
      </c>
      <c r="P24" s="568"/>
      <c r="Q24" s="568"/>
      <c r="R24" s="568"/>
      <c r="S24" s="568"/>
      <c r="T24" s="569"/>
    </row>
    <row r="25" spans="1:20" ht="25.5">
      <c r="A25" s="343" t="s">
        <v>566</v>
      </c>
      <c r="B25" s="344" t="s">
        <v>578</v>
      </c>
      <c r="C25" s="344" t="s">
        <v>596</v>
      </c>
      <c r="D25" s="345">
        <v>38.4</v>
      </c>
      <c r="E25" s="314" t="s">
        <v>582</v>
      </c>
      <c r="F25" s="270">
        <f t="shared" si="0"/>
        <v>1200</v>
      </c>
      <c r="G25" s="296">
        <f t="shared" si="1"/>
        <v>3.2000000000000001E-2</v>
      </c>
      <c r="I25" s="361"/>
      <c r="J25" s="362"/>
      <c r="K25" s="363"/>
      <c r="L25" s="311"/>
      <c r="M25" s="311"/>
      <c r="O25" s="559" t="s">
        <v>17</v>
      </c>
      <c r="P25" s="570" t="s">
        <v>2</v>
      </c>
      <c r="Q25" s="605" t="s">
        <v>435</v>
      </c>
      <c r="R25" s="572" t="s">
        <v>18</v>
      </c>
      <c r="S25" s="605" t="s">
        <v>21</v>
      </c>
      <c r="T25" s="607" t="s">
        <v>22</v>
      </c>
    </row>
    <row r="26" spans="1:20" ht="12.75">
      <c r="A26" s="343" t="s">
        <v>566</v>
      </c>
      <c r="B26" s="344" t="s">
        <v>578</v>
      </c>
      <c r="C26" s="344" t="s">
        <v>601</v>
      </c>
      <c r="D26" s="345">
        <v>28.3</v>
      </c>
      <c r="E26" s="314" t="s">
        <v>582</v>
      </c>
      <c r="F26" s="270">
        <f t="shared" si="0"/>
        <v>1200</v>
      </c>
      <c r="G26" s="296">
        <f t="shared" si="1"/>
        <v>2.3583333333333335E-2</v>
      </c>
      <c r="I26" s="361"/>
      <c r="J26" s="362"/>
      <c r="K26" s="363"/>
      <c r="L26" s="311"/>
      <c r="M26" s="311"/>
      <c r="O26" s="524"/>
      <c r="P26" s="437"/>
      <c r="Q26" s="513"/>
      <c r="R26" s="437"/>
      <c r="S26" s="513"/>
      <c r="T26" s="526"/>
    </row>
    <row r="27" spans="1:20" ht="12.75">
      <c r="A27" s="343" t="s">
        <v>566</v>
      </c>
      <c r="B27" s="344" t="s">
        <v>578</v>
      </c>
      <c r="C27" s="344" t="s">
        <v>602</v>
      </c>
      <c r="D27" s="345">
        <v>28</v>
      </c>
      <c r="E27" s="314" t="s">
        <v>582</v>
      </c>
      <c r="F27" s="270">
        <f t="shared" si="0"/>
        <v>1200</v>
      </c>
      <c r="G27" s="296">
        <f t="shared" si="1"/>
        <v>2.3333333333333334E-2</v>
      </c>
      <c r="I27" s="361"/>
      <c r="J27" s="362"/>
      <c r="K27" s="363"/>
      <c r="L27" s="311"/>
      <c r="M27" s="311"/>
      <c r="O27" s="525"/>
      <c r="P27" s="438"/>
      <c r="Q27" s="431"/>
      <c r="R27" s="438"/>
      <c r="S27" s="431"/>
      <c r="T27" s="527"/>
    </row>
    <row r="28" spans="1:20" ht="12.75">
      <c r="A28" s="343" t="s">
        <v>566</v>
      </c>
      <c r="B28" s="344" t="s">
        <v>578</v>
      </c>
      <c r="C28" s="344" t="s">
        <v>603</v>
      </c>
      <c r="D28" s="345">
        <v>28</v>
      </c>
      <c r="E28" s="314" t="s">
        <v>582</v>
      </c>
      <c r="F28" s="270">
        <f t="shared" si="0"/>
        <v>1200</v>
      </c>
      <c r="G28" s="296">
        <f t="shared" si="1"/>
        <v>2.3333333333333334E-2</v>
      </c>
      <c r="I28" s="361"/>
      <c r="J28" s="362"/>
      <c r="K28" s="363"/>
      <c r="L28" s="311"/>
      <c r="M28" s="311"/>
      <c r="O28" s="560" t="s">
        <v>25</v>
      </c>
      <c r="P28" s="265" t="s">
        <v>604</v>
      </c>
      <c r="Q28" s="266">
        <f>SUMIF(E4:E273,"Pisos acarpetados",D4:D273)</f>
        <v>6146.5999999999967</v>
      </c>
      <c r="R28" s="267">
        <v>1200</v>
      </c>
      <c r="S28" s="606">
        <f>SUM(Q28:Q34)</f>
        <v>18365.049999999996</v>
      </c>
      <c r="T28" s="328">
        <f t="shared" ref="T28:T40" si="5">Q28/R28</f>
        <v>5.1221666666666641</v>
      </c>
    </row>
    <row r="29" spans="1:20" ht="12.75">
      <c r="A29" s="343" t="s">
        <v>566</v>
      </c>
      <c r="B29" s="344" t="s">
        <v>578</v>
      </c>
      <c r="C29" s="344" t="s">
        <v>605</v>
      </c>
      <c r="D29" s="345">
        <v>27.7</v>
      </c>
      <c r="E29" s="314" t="s">
        <v>582</v>
      </c>
      <c r="F29" s="270">
        <f t="shared" si="0"/>
        <v>1200</v>
      </c>
      <c r="G29" s="296">
        <f t="shared" si="1"/>
        <v>2.3083333333333334E-2</v>
      </c>
      <c r="I29" s="361"/>
      <c r="J29" s="362"/>
      <c r="K29" s="363"/>
      <c r="L29" s="311"/>
      <c r="M29" s="311"/>
      <c r="O29" s="524"/>
      <c r="P29" s="21" t="s">
        <v>51</v>
      </c>
      <c r="Q29" s="266">
        <f>SUMIF(E4:E273,"Pisos frios",D4:D273)</f>
        <v>8875.8000000000011</v>
      </c>
      <c r="R29" s="22">
        <v>1200</v>
      </c>
      <c r="S29" s="437"/>
      <c r="T29" s="328">
        <f t="shared" si="5"/>
        <v>7.3965000000000005</v>
      </c>
    </row>
    <row r="30" spans="1:20" ht="12.75">
      <c r="A30" s="343" t="s">
        <v>566</v>
      </c>
      <c r="B30" s="344" t="s">
        <v>578</v>
      </c>
      <c r="C30" s="344" t="s">
        <v>606</v>
      </c>
      <c r="D30" s="345">
        <v>27.1</v>
      </c>
      <c r="E30" s="314" t="s">
        <v>467</v>
      </c>
      <c r="F30" s="270">
        <f t="shared" si="0"/>
        <v>300</v>
      </c>
      <c r="G30" s="296">
        <f t="shared" si="1"/>
        <v>9.0333333333333335E-2</v>
      </c>
      <c r="I30" s="361"/>
      <c r="J30" s="362"/>
      <c r="K30" s="363"/>
      <c r="L30" s="311"/>
      <c r="M30" s="311"/>
      <c r="O30" s="524"/>
      <c r="P30" s="21" t="s">
        <v>30</v>
      </c>
      <c r="Q30" s="266">
        <f>SUMIF(E4:E273,"Laboratórios",D4:D273)</f>
        <v>0</v>
      </c>
      <c r="R30" s="27">
        <v>450</v>
      </c>
      <c r="S30" s="437"/>
      <c r="T30" s="328">
        <f t="shared" si="5"/>
        <v>0</v>
      </c>
    </row>
    <row r="31" spans="1:20" ht="12.75">
      <c r="A31" s="343" t="s">
        <v>566</v>
      </c>
      <c r="B31" s="344" t="s">
        <v>578</v>
      </c>
      <c r="C31" s="344" t="s">
        <v>606</v>
      </c>
      <c r="D31" s="345">
        <v>27.1</v>
      </c>
      <c r="E31" s="314" t="s">
        <v>467</v>
      </c>
      <c r="F31" s="270">
        <f t="shared" si="0"/>
        <v>300</v>
      </c>
      <c r="G31" s="296">
        <f t="shared" si="1"/>
        <v>9.0333333333333335E-2</v>
      </c>
      <c r="I31" s="361"/>
      <c r="J31" s="362"/>
      <c r="K31" s="363"/>
      <c r="L31" s="311"/>
      <c r="M31" s="311"/>
      <c r="O31" s="524"/>
      <c r="P31" s="21" t="s">
        <v>31</v>
      </c>
      <c r="Q31" s="266">
        <f>SUMIF(E4:E273,"Almoxarifados/galpões",D4:D273)</f>
        <v>566.39999999999986</v>
      </c>
      <c r="R31" s="22">
        <v>2500</v>
      </c>
      <c r="S31" s="437"/>
      <c r="T31" s="328">
        <f t="shared" si="5"/>
        <v>0.22655999999999996</v>
      </c>
    </row>
    <row r="32" spans="1:20" ht="12.75">
      <c r="A32" s="343" t="s">
        <v>566</v>
      </c>
      <c r="B32" s="344" t="s">
        <v>607</v>
      </c>
      <c r="C32" s="344" t="s">
        <v>608</v>
      </c>
      <c r="D32" s="345">
        <v>72.400000000000006</v>
      </c>
      <c r="E32" s="314" t="s">
        <v>454</v>
      </c>
      <c r="F32" s="270">
        <f t="shared" si="0"/>
        <v>1200</v>
      </c>
      <c r="G32" s="296">
        <f t="shared" si="1"/>
        <v>6.0333333333333336E-2</v>
      </c>
      <c r="I32" s="361"/>
      <c r="J32" s="362"/>
      <c r="K32" s="363"/>
      <c r="L32" s="311"/>
      <c r="M32" s="311"/>
      <c r="O32" s="524"/>
      <c r="P32" s="21" t="s">
        <v>32</v>
      </c>
      <c r="Q32" s="266">
        <f>SUMIF(E4:E273,"Oficinas",D4:D273)</f>
        <v>0</v>
      </c>
      <c r="R32" s="22">
        <v>1800</v>
      </c>
      <c r="S32" s="437"/>
      <c r="T32" s="328">
        <f t="shared" si="5"/>
        <v>0</v>
      </c>
    </row>
    <row r="33" spans="1:20" ht="12.75">
      <c r="A33" s="343" t="s">
        <v>566</v>
      </c>
      <c r="B33" s="344" t="s">
        <v>607</v>
      </c>
      <c r="C33" s="344" t="s">
        <v>581</v>
      </c>
      <c r="D33" s="345">
        <v>16.899999999999999</v>
      </c>
      <c r="E33" s="314" t="s">
        <v>582</v>
      </c>
      <c r="F33" s="270">
        <f t="shared" si="0"/>
        <v>1200</v>
      </c>
      <c r="G33" s="296">
        <f t="shared" si="1"/>
        <v>1.4083333333333331E-2</v>
      </c>
      <c r="I33" s="361"/>
      <c r="J33" s="362"/>
      <c r="K33" s="363"/>
      <c r="L33" s="311"/>
      <c r="M33" s="311"/>
      <c r="O33" s="524"/>
      <c r="P33" s="21" t="s">
        <v>33</v>
      </c>
      <c r="Q33" s="266">
        <f>SUMIF(E4:E273,"Áreas com espaços livres - saguão hall e salão",D4:D273)</f>
        <v>2052.8999999999996</v>
      </c>
      <c r="R33" s="22">
        <v>1500</v>
      </c>
      <c r="S33" s="437"/>
      <c r="T33" s="328">
        <f t="shared" si="5"/>
        <v>1.3685999999999998</v>
      </c>
    </row>
    <row r="34" spans="1:20" ht="12.75">
      <c r="A34" s="343" t="s">
        <v>566</v>
      </c>
      <c r="B34" s="344" t="s">
        <v>607</v>
      </c>
      <c r="C34" s="344" t="s">
        <v>584</v>
      </c>
      <c r="D34" s="345">
        <v>10.7</v>
      </c>
      <c r="E34" s="314" t="s">
        <v>582</v>
      </c>
      <c r="F34" s="270">
        <f t="shared" si="0"/>
        <v>1200</v>
      </c>
      <c r="G34" s="296">
        <f t="shared" si="1"/>
        <v>8.9166666666666665E-3</v>
      </c>
      <c r="I34" s="361"/>
      <c r="J34" s="362"/>
      <c r="K34" s="363"/>
      <c r="L34" s="311"/>
      <c r="M34" s="311"/>
      <c r="O34" s="525"/>
      <c r="P34" s="21" t="s">
        <v>53</v>
      </c>
      <c r="Q34" s="266">
        <f>SUMIF(E4:E273,"Banheiros",D4:D273)</f>
        <v>723.35</v>
      </c>
      <c r="R34" s="27">
        <v>300</v>
      </c>
      <c r="S34" s="438"/>
      <c r="T34" s="328">
        <f t="shared" si="5"/>
        <v>2.4111666666666669</v>
      </c>
    </row>
    <row r="35" spans="1:20" ht="12.75">
      <c r="A35" s="343" t="s">
        <v>566</v>
      </c>
      <c r="B35" s="344" t="s">
        <v>607</v>
      </c>
      <c r="C35" s="344" t="s">
        <v>586</v>
      </c>
      <c r="D35" s="345">
        <v>27.6</v>
      </c>
      <c r="E35" s="314" t="s">
        <v>582</v>
      </c>
      <c r="F35" s="270">
        <f t="shared" si="0"/>
        <v>1200</v>
      </c>
      <c r="G35" s="296">
        <f t="shared" si="1"/>
        <v>2.3E-2</v>
      </c>
      <c r="I35" s="361"/>
      <c r="J35" s="362"/>
      <c r="K35" s="363"/>
      <c r="L35" s="311"/>
      <c r="M35" s="311"/>
      <c r="O35" s="562" t="s">
        <v>36</v>
      </c>
      <c r="P35" s="21" t="s">
        <v>37</v>
      </c>
      <c r="Q35" s="24">
        <f>SUMIF(K4:K63,"Pisos pavimentados adjacentes/contíguos às edificações",J4:J63)</f>
        <v>0</v>
      </c>
      <c r="R35" s="22">
        <v>2700</v>
      </c>
      <c r="S35" s="598">
        <f>SUM(Q35:Q40)</f>
        <v>7954.43</v>
      </c>
      <c r="T35" s="328">
        <f t="shared" si="5"/>
        <v>0</v>
      </c>
    </row>
    <row r="36" spans="1:20" ht="12.75">
      <c r="A36" s="343" t="s">
        <v>566</v>
      </c>
      <c r="B36" s="344" t="s">
        <v>607</v>
      </c>
      <c r="C36" s="344" t="s">
        <v>587</v>
      </c>
      <c r="D36" s="345">
        <v>56.5</v>
      </c>
      <c r="E36" s="314" t="s">
        <v>582</v>
      </c>
      <c r="F36" s="270">
        <f t="shared" si="0"/>
        <v>1200</v>
      </c>
      <c r="G36" s="296">
        <f t="shared" si="1"/>
        <v>4.7083333333333331E-2</v>
      </c>
      <c r="I36" s="361"/>
      <c r="J36" s="362"/>
      <c r="K36" s="363"/>
      <c r="L36" s="311"/>
      <c r="M36" s="311"/>
      <c r="O36" s="524"/>
      <c r="P36" s="21" t="s">
        <v>38</v>
      </c>
      <c r="Q36" s="24">
        <f>SUMIF(K4:K63,"Varrição de passeios e arruamentos",J4:J63)</f>
        <v>7954.43</v>
      </c>
      <c r="R36" s="22">
        <v>9000</v>
      </c>
      <c r="S36" s="437"/>
      <c r="T36" s="328">
        <f t="shared" si="5"/>
        <v>0.88382555555555564</v>
      </c>
    </row>
    <row r="37" spans="1:20" ht="12.75">
      <c r="A37" s="343" t="s">
        <v>566</v>
      </c>
      <c r="B37" s="344" t="s">
        <v>607</v>
      </c>
      <c r="C37" s="344" t="s">
        <v>589</v>
      </c>
      <c r="D37" s="345">
        <v>36.700000000000003</v>
      </c>
      <c r="E37" s="314" t="s">
        <v>582</v>
      </c>
      <c r="F37" s="270">
        <f t="shared" si="0"/>
        <v>1200</v>
      </c>
      <c r="G37" s="296">
        <f t="shared" si="1"/>
        <v>3.0583333333333337E-2</v>
      </c>
      <c r="I37" s="361"/>
      <c r="J37" s="362"/>
      <c r="K37" s="363"/>
      <c r="L37" s="311"/>
      <c r="M37" s="311"/>
      <c r="O37" s="524"/>
      <c r="P37" s="21" t="s">
        <v>39</v>
      </c>
      <c r="Q37" s="24">
        <f>SUMIF(K4:K63,"Pátios e áreas verdes com alta frequência",J4:J63)</f>
        <v>0</v>
      </c>
      <c r="R37" s="22">
        <v>2700</v>
      </c>
      <c r="S37" s="437"/>
      <c r="T37" s="328">
        <f t="shared" si="5"/>
        <v>0</v>
      </c>
    </row>
    <row r="38" spans="1:20" ht="12.75">
      <c r="A38" s="343" t="s">
        <v>566</v>
      </c>
      <c r="B38" s="344" t="s">
        <v>607</v>
      </c>
      <c r="C38" s="344" t="s">
        <v>609</v>
      </c>
      <c r="D38" s="345">
        <v>19.3</v>
      </c>
      <c r="E38" s="314" t="s">
        <v>582</v>
      </c>
      <c r="F38" s="270">
        <f t="shared" si="0"/>
        <v>1200</v>
      </c>
      <c r="G38" s="296">
        <f t="shared" si="1"/>
        <v>1.6083333333333335E-2</v>
      </c>
      <c r="I38" s="361"/>
      <c r="J38" s="362"/>
      <c r="K38" s="363"/>
      <c r="L38" s="311"/>
      <c r="M38" s="311"/>
      <c r="O38" s="524"/>
      <c r="P38" s="21" t="s">
        <v>40</v>
      </c>
      <c r="Q38" s="24">
        <f>SUMIF(K4:K63,"Pátios e áreas verdes com média frequência",J4:J63)</f>
        <v>0</v>
      </c>
      <c r="R38" s="22">
        <v>2700</v>
      </c>
      <c r="S38" s="437"/>
      <c r="T38" s="328">
        <f t="shared" si="5"/>
        <v>0</v>
      </c>
    </row>
    <row r="39" spans="1:20" ht="12.75">
      <c r="A39" s="343" t="s">
        <v>566</v>
      </c>
      <c r="B39" s="344" t="s">
        <v>607</v>
      </c>
      <c r="C39" s="344" t="s">
        <v>610</v>
      </c>
      <c r="D39" s="345">
        <v>28</v>
      </c>
      <c r="E39" s="314" t="s">
        <v>582</v>
      </c>
      <c r="F39" s="270">
        <f t="shared" si="0"/>
        <v>1200</v>
      </c>
      <c r="G39" s="296">
        <f t="shared" si="1"/>
        <v>2.3333333333333334E-2</v>
      </c>
      <c r="I39" s="361"/>
      <c r="J39" s="362"/>
      <c r="K39" s="363"/>
      <c r="L39" s="311"/>
      <c r="M39" s="311"/>
      <c r="O39" s="524"/>
      <c r="P39" s="21" t="s">
        <v>41</v>
      </c>
      <c r="Q39" s="24">
        <f>SUMIF(K4:K63,"Pátios e áreas verdes com baixa frequência",J4:J63)</f>
        <v>0</v>
      </c>
      <c r="R39" s="22">
        <v>2700</v>
      </c>
      <c r="S39" s="437"/>
      <c r="T39" s="328">
        <f t="shared" si="5"/>
        <v>0</v>
      </c>
    </row>
    <row r="40" spans="1:20" ht="12.75">
      <c r="A40" s="343" t="s">
        <v>566</v>
      </c>
      <c r="B40" s="344" t="s">
        <v>607</v>
      </c>
      <c r="C40" s="344" t="s">
        <v>590</v>
      </c>
      <c r="D40" s="345">
        <v>84.1</v>
      </c>
      <c r="E40" s="314" t="s">
        <v>582</v>
      </c>
      <c r="F40" s="270">
        <f t="shared" si="0"/>
        <v>1200</v>
      </c>
      <c r="G40" s="296">
        <f t="shared" si="1"/>
        <v>7.0083333333333331E-2</v>
      </c>
      <c r="I40" s="361"/>
      <c r="J40" s="362"/>
      <c r="K40" s="363"/>
      <c r="L40" s="311"/>
      <c r="M40" s="311"/>
      <c r="O40" s="525"/>
      <c r="P40" s="21" t="s">
        <v>42</v>
      </c>
      <c r="Q40" s="24">
        <f>SUMIF(K4:K63,"coleta de detritos em pátios e áreas verdes com frequência diária",J4:J63)</f>
        <v>0</v>
      </c>
      <c r="R40" s="22">
        <v>100000</v>
      </c>
      <c r="S40" s="438"/>
      <c r="T40" s="328">
        <f t="shared" si="5"/>
        <v>0</v>
      </c>
    </row>
    <row r="41" spans="1:20" ht="12.75">
      <c r="A41" s="343" t="s">
        <v>566</v>
      </c>
      <c r="B41" s="344" t="s">
        <v>607</v>
      </c>
      <c r="C41" s="344" t="s">
        <v>594</v>
      </c>
      <c r="D41" s="345">
        <v>27.4</v>
      </c>
      <c r="E41" s="314" t="s">
        <v>582</v>
      </c>
      <c r="F41" s="270">
        <f t="shared" si="0"/>
        <v>1200</v>
      </c>
      <c r="G41" s="296">
        <f t="shared" si="1"/>
        <v>2.283333333333333E-2</v>
      </c>
      <c r="I41" s="361"/>
      <c r="J41" s="362"/>
      <c r="K41" s="363"/>
      <c r="L41" s="311"/>
      <c r="M41" s="311"/>
      <c r="O41" s="562" t="s">
        <v>43</v>
      </c>
      <c r="P41" s="21" t="s">
        <v>44</v>
      </c>
      <c r="Q41" s="24">
        <f>P16</f>
        <v>0</v>
      </c>
      <c r="R41" s="22">
        <v>160</v>
      </c>
      <c r="S41" s="598">
        <f>SUM(Q41:Q43)</f>
        <v>2936.16</v>
      </c>
      <c r="T41" s="328">
        <f>T16</f>
        <v>0</v>
      </c>
    </row>
    <row r="42" spans="1:20" ht="12.75">
      <c r="A42" s="343" t="s">
        <v>566</v>
      </c>
      <c r="B42" s="344" t="s">
        <v>607</v>
      </c>
      <c r="C42" s="344" t="s">
        <v>595</v>
      </c>
      <c r="D42" s="345">
        <v>8.1</v>
      </c>
      <c r="E42" s="314" t="s">
        <v>454</v>
      </c>
      <c r="F42" s="270">
        <f t="shared" si="0"/>
        <v>1200</v>
      </c>
      <c r="G42" s="296">
        <f t="shared" si="1"/>
        <v>6.7499999999999999E-3</v>
      </c>
      <c r="I42" s="361"/>
      <c r="J42" s="362"/>
      <c r="K42" s="363"/>
      <c r="L42" s="311"/>
      <c r="M42" s="311"/>
      <c r="O42" s="524"/>
      <c r="P42" s="21" t="s">
        <v>45</v>
      </c>
      <c r="Q42" s="24">
        <f>P4</f>
        <v>1468.08</v>
      </c>
      <c r="R42" s="22">
        <v>380</v>
      </c>
      <c r="S42" s="437"/>
      <c r="T42" s="328">
        <f>T4</f>
        <v>2.7288493173601498E-2</v>
      </c>
    </row>
    <row r="43" spans="1:20" ht="25.5">
      <c r="A43" s="343" t="s">
        <v>566</v>
      </c>
      <c r="B43" s="344" t="s">
        <v>607</v>
      </c>
      <c r="C43" s="344" t="s">
        <v>596</v>
      </c>
      <c r="D43" s="345">
        <v>16.8</v>
      </c>
      <c r="E43" s="314" t="s">
        <v>582</v>
      </c>
      <c r="F43" s="270">
        <f t="shared" si="0"/>
        <v>1200</v>
      </c>
      <c r="G43" s="296">
        <f t="shared" si="1"/>
        <v>1.4E-2</v>
      </c>
      <c r="I43" s="361"/>
      <c r="J43" s="362"/>
      <c r="K43" s="363"/>
      <c r="L43" s="311"/>
      <c r="M43" s="311"/>
      <c r="O43" s="525"/>
      <c r="P43" s="21" t="s">
        <v>46</v>
      </c>
      <c r="Q43" s="24">
        <f>P6</f>
        <v>1468.08</v>
      </c>
      <c r="R43" s="22">
        <v>380</v>
      </c>
      <c r="S43" s="438"/>
      <c r="T43" s="328">
        <f>T6</f>
        <v>0.32747348345434468</v>
      </c>
    </row>
    <row r="44" spans="1:20" ht="12.75">
      <c r="A44" s="343" t="s">
        <v>566</v>
      </c>
      <c r="B44" s="344" t="s">
        <v>607</v>
      </c>
      <c r="C44" s="344" t="s">
        <v>598</v>
      </c>
      <c r="D44" s="345">
        <v>32</v>
      </c>
      <c r="E44" s="314" t="s">
        <v>582</v>
      </c>
      <c r="F44" s="270">
        <f t="shared" si="0"/>
        <v>1200</v>
      </c>
      <c r="G44" s="296">
        <f t="shared" si="1"/>
        <v>2.6666666666666668E-2</v>
      </c>
      <c r="I44" s="361"/>
      <c r="J44" s="362"/>
      <c r="K44" s="363"/>
      <c r="L44" s="311"/>
      <c r="M44" s="311"/>
      <c r="O44" s="271" t="s">
        <v>47</v>
      </c>
      <c r="P44" s="21" t="s">
        <v>47</v>
      </c>
      <c r="Q44" s="24">
        <f>P15</f>
        <v>5319.6</v>
      </c>
      <c r="R44" s="22">
        <v>160</v>
      </c>
      <c r="S44" s="332">
        <f t="shared" ref="S44:S45" si="6">Q44</f>
        <v>5319.6</v>
      </c>
      <c r="T44" s="328">
        <f>T15</f>
        <v>0.23484019071163695</v>
      </c>
    </row>
    <row r="45" spans="1:20" ht="12.75">
      <c r="A45" s="343" t="s">
        <v>566</v>
      </c>
      <c r="B45" s="344" t="s">
        <v>578</v>
      </c>
      <c r="C45" s="344" t="s">
        <v>602</v>
      </c>
      <c r="D45" s="345">
        <v>18.600000000000001</v>
      </c>
      <c r="E45" s="314" t="s">
        <v>582</v>
      </c>
      <c r="F45" s="270">
        <f t="shared" si="0"/>
        <v>1200</v>
      </c>
      <c r="G45" s="296">
        <f t="shared" si="1"/>
        <v>1.5500000000000002E-2</v>
      </c>
      <c r="I45" s="361"/>
      <c r="J45" s="362"/>
      <c r="K45" s="363"/>
      <c r="L45" s="311"/>
      <c r="M45" s="311"/>
      <c r="O45" s="271" t="s">
        <v>48</v>
      </c>
      <c r="P45" s="21" t="s">
        <v>48</v>
      </c>
      <c r="Q45" s="24">
        <f>P22</f>
        <v>0</v>
      </c>
      <c r="R45" s="22">
        <v>450</v>
      </c>
      <c r="S45" s="332">
        <f t="shared" si="6"/>
        <v>0</v>
      </c>
      <c r="T45" s="328">
        <f>Q45/R45</f>
        <v>0</v>
      </c>
    </row>
    <row r="46" spans="1:20" ht="12.75">
      <c r="A46" s="343" t="s">
        <v>566</v>
      </c>
      <c r="B46" s="344" t="s">
        <v>578</v>
      </c>
      <c r="C46" s="344" t="s">
        <v>603</v>
      </c>
      <c r="D46" s="345">
        <v>4.9000000000000004</v>
      </c>
      <c r="E46" s="314" t="s">
        <v>582</v>
      </c>
      <c r="F46" s="270">
        <f t="shared" si="0"/>
        <v>1200</v>
      </c>
      <c r="G46" s="296">
        <f t="shared" si="1"/>
        <v>4.0833333333333338E-3</v>
      </c>
      <c r="I46" s="361"/>
      <c r="J46" s="362"/>
      <c r="K46" s="363"/>
      <c r="L46" s="311"/>
      <c r="M46" s="311"/>
      <c r="O46" s="564" t="s">
        <v>15</v>
      </c>
      <c r="P46" s="565"/>
      <c r="Q46" s="565"/>
      <c r="R46" s="566"/>
      <c r="S46" s="333">
        <f>SUM(S28:S45)</f>
        <v>34575.24</v>
      </c>
      <c r="T46" s="334">
        <f>SUM(T28:T45)-T41</f>
        <v>17.998421056228469</v>
      </c>
    </row>
    <row r="47" spans="1:20" ht="12.75">
      <c r="A47" s="343" t="s">
        <v>566</v>
      </c>
      <c r="B47" s="344" t="s">
        <v>607</v>
      </c>
      <c r="C47" s="344" t="s">
        <v>605</v>
      </c>
      <c r="D47" s="345">
        <v>24.8</v>
      </c>
      <c r="E47" s="314" t="s">
        <v>582</v>
      </c>
      <c r="F47" s="270">
        <f t="shared" si="0"/>
        <v>1200</v>
      </c>
      <c r="G47" s="296">
        <f t="shared" si="1"/>
        <v>2.0666666666666667E-2</v>
      </c>
      <c r="I47" s="361"/>
      <c r="J47" s="362"/>
      <c r="K47" s="363"/>
      <c r="L47" s="311"/>
      <c r="M47" s="311"/>
      <c r="O47" s="63"/>
      <c r="P47" s="68"/>
      <c r="Q47" s="69"/>
      <c r="R47" s="70"/>
      <c r="S47" s="276"/>
      <c r="T47" s="65"/>
    </row>
    <row r="48" spans="1:20">
      <c r="A48" s="343" t="s">
        <v>566</v>
      </c>
      <c r="B48" s="344" t="s">
        <v>607</v>
      </c>
      <c r="C48" s="344" t="s">
        <v>611</v>
      </c>
      <c r="D48" s="345">
        <v>12.4</v>
      </c>
      <c r="E48" s="314" t="s">
        <v>582</v>
      </c>
      <c r="F48" s="270">
        <f t="shared" si="0"/>
        <v>1200</v>
      </c>
      <c r="G48" s="296">
        <f t="shared" si="1"/>
        <v>1.0333333333333333E-2</v>
      </c>
      <c r="I48" s="361"/>
      <c r="J48" s="362"/>
      <c r="K48" s="363"/>
      <c r="L48" s="311"/>
      <c r="M48" s="311"/>
      <c r="O48" s="63"/>
      <c r="P48" s="64"/>
      <c r="Q48" s="65"/>
      <c r="R48" s="278"/>
      <c r="S48" s="278" t="s">
        <v>49</v>
      </c>
      <c r="T48" s="279">
        <f>ROUND(T46,0)</f>
        <v>18</v>
      </c>
    </row>
    <row r="49" spans="1:24">
      <c r="A49" s="343" t="s">
        <v>566</v>
      </c>
      <c r="B49" s="344" t="s">
        <v>607</v>
      </c>
      <c r="C49" s="344" t="s">
        <v>595</v>
      </c>
      <c r="D49" s="345">
        <v>7.9</v>
      </c>
      <c r="E49" s="314" t="s">
        <v>454</v>
      </c>
      <c r="F49" s="270">
        <f t="shared" si="0"/>
        <v>1200</v>
      </c>
      <c r="G49" s="296">
        <f t="shared" si="1"/>
        <v>6.5833333333333334E-3</v>
      </c>
      <c r="I49" s="361"/>
      <c r="J49" s="362"/>
      <c r="K49" s="363"/>
      <c r="L49" s="311"/>
      <c r="M49" s="311"/>
      <c r="O49" s="63" t="s">
        <v>612</v>
      </c>
      <c r="P49" s="364">
        <f>D273</f>
        <v>48.7</v>
      </c>
      <c r="Q49" s="65"/>
      <c r="R49" s="278"/>
      <c r="S49" s="278" t="s">
        <v>516</v>
      </c>
      <c r="T49" s="279">
        <f>T44+T41</f>
        <v>0.23484019071163695</v>
      </c>
    </row>
    <row r="50" spans="1:24" ht="25.5">
      <c r="A50" s="343" t="s">
        <v>566</v>
      </c>
      <c r="B50" s="344" t="s">
        <v>607</v>
      </c>
      <c r="C50" s="344" t="s">
        <v>596</v>
      </c>
      <c r="D50" s="345">
        <v>4.5</v>
      </c>
      <c r="E50" s="314" t="s">
        <v>454</v>
      </c>
      <c r="F50" s="270">
        <f t="shared" si="0"/>
        <v>1200</v>
      </c>
      <c r="G50" s="296">
        <f t="shared" si="1"/>
        <v>3.7499999999999999E-3</v>
      </c>
      <c r="I50" s="361"/>
      <c r="J50" s="362"/>
      <c r="K50" s="363"/>
      <c r="L50" s="311"/>
      <c r="M50" s="311"/>
      <c r="O50" s="63"/>
      <c r="P50" s="64"/>
      <c r="Q50" s="65"/>
      <c r="R50" s="65"/>
      <c r="S50" s="66"/>
      <c r="T50" s="65"/>
    </row>
    <row r="51" spans="1:24" ht="12.75">
      <c r="A51" s="343" t="s">
        <v>566</v>
      </c>
      <c r="B51" s="344" t="s">
        <v>607</v>
      </c>
      <c r="C51" s="344" t="s">
        <v>606</v>
      </c>
      <c r="D51" s="345">
        <v>2.7</v>
      </c>
      <c r="E51" s="314" t="s">
        <v>467</v>
      </c>
      <c r="F51" s="270">
        <f t="shared" si="0"/>
        <v>300</v>
      </c>
      <c r="G51" s="296">
        <f t="shared" si="1"/>
        <v>9.0000000000000011E-3</v>
      </c>
      <c r="I51" s="361"/>
      <c r="J51" s="362"/>
      <c r="K51" s="363"/>
      <c r="L51" s="311"/>
      <c r="M51" s="311"/>
      <c r="O51" s="575"/>
      <c r="P51" s="461"/>
      <c r="Q51" s="461"/>
      <c r="R51" s="461"/>
      <c r="S51" s="461"/>
      <c r="T51" s="461"/>
      <c r="U51" s="461"/>
      <c r="V51" s="461"/>
      <c r="W51" s="461"/>
      <c r="X51" s="11"/>
    </row>
    <row r="52" spans="1:24" ht="12.75">
      <c r="A52" s="343" t="s">
        <v>566</v>
      </c>
      <c r="B52" s="344" t="s">
        <v>607</v>
      </c>
      <c r="C52" s="344" t="s">
        <v>606</v>
      </c>
      <c r="D52" s="345">
        <v>2.7</v>
      </c>
      <c r="E52" s="314" t="s">
        <v>467</v>
      </c>
      <c r="F52" s="270">
        <f t="shared" si="0"/>
        <v>300</v>
      </c>
      <c r="G52" s="296">
        <f t="shared" si="1"/>
        <v>9.0000000000000011E-3</v>
      </c>
      <c r="I52" s="361"/>
      <c r="J52" s="362"/>
      <c r="K52" s="363"/>
      <c r="L52" s="311"/>
      <c r="M52" s="311"/>
      <c r="O52" s="576"/>
      <c r="P52" s="576"/>
      <c r="Q52" s="577"/>
      <c r="R52" s="460"/>
      <c r="S52" s="578"/>
      <c r="T52" s="578"/>
      <c r="U52" s="461"/>
      <c r="V52" s="460"/>
      <c r="W52" s="461"/>
      <c r="X52" s="12"/>
    </row>
    <row r="53" spans="1:24" ht="12.75">
      <c r="A53" s="343" t="s">
        <v>566</v>
      </c>
      <c r="B53" s="344" t="s">
        <v>607</v>
      </c>
      <c r="C53" s="344" t="s">
        <v>613</v>
      </c>
      <c r="D53" s="345">
        <v>56.4</v>
      </c>
      <c r="E53" s="314" t="s">
        <v>582</v>
      </c>
      <c r="F53" s="270">
        <f t="shared" si="0"/>
        <v>1200</v>
      </c>
      <c r="G53" s="296">
        <f t="shared" si="1"/>
        <v>4.7E-2</v>
      </c>
      <c r="I53" s="361"/>
      <c r="J53" s="362"/>
      <c r="K53" s="363"/>
      <c r="L53" s="311"/>
      <c r="M53" s="311"/>
      <c r="O53" s="461"/>
      <c r="P53" s="461"/>
      <c r="Q53" s="461"/>
      <c r="R53" s="461"/>
      <c r="S53" s="461"/>
      <c r="T53" s="460"/>
      <c r="U53" s="578"/>
      <c r="V53" s="460"/>
      <c r="W53" s="578"/>
      <c r="X53" s="13"/>
    </row>
    <row r="54" spans="1:24" ht="12.75">
      <c r="A54" s="343" t="s">
        <v>566</v>
      </c>
      <c r="B54" s="344" t="s">
        <v>607</v>
      </c>
      <c r="C54" s="344" t="s">
        <v>601</v>
      </c>
      <c r="D54" s="345">
        <v>28.3</v>
      </c>
      <c r="E54" s="314" t="s">
        <v>582</v>
      </c>
      <c r="F54" s="270">
        <f t="shared" si="0"/>
        <v>1200</v>
      </c>
      <c r="G54" s="296">
        <f t="shared" si="1"/>
        <v>2.3583333333333335E-2</v>
      </c>
      <c r="I54" s="361"/>
      <c r="J54" s="362"/>
      <c r="K54" s="363"/>
      <c r="L54" s="311"/>
      <c r="M54" s="311"/>
      <c r="O54" s="461"/>
      <c r="P54" s="461"/>
      <c r="Q54" s="461"/>
      <c r="R54" s="461"/>
      <c r="S54" s="461"/>
      <c r="T54" s="461"/>
      <c r="U54" s="461"/>
      <c r="V54" s="461"/>
      <c r="W54" s="461"/>
      <c r="X54" s="13"/>
    </row>
    <row r="55" spans="1:24" ht="38.25">
      <c r="A55" s="343" t="s">
        <v>566</v>
      </c>
      <c r="B55" s="344" t="s">
        <v>607</v>
      </c>
      <c r="C55" s="344" t="s">
        <v>614</v>
      </c>
      <c r="D55" s="345">
        <v>81</v>
      </c>
      <c r="E55" s="314" t="s">
        <v>582</v>
      </c>
      <c r="F55" s="270">
        <f t="shared" si="0"/>
        <v>1200</v>
      </c>
      <c r="G55" s="296">
        <f t="shared" si="1"/>
        <v>6.7500000000000004E-2</v>
      </c>
      <c r="I55" s="361"/>
      <c r="J55" s="362"/>
      <c r="K55" s="363"/>
      <c r="L55" s="311"/>
      <c r="M55" s="311"/>
      <c r="O55" s="579"/>
      <c r="P55" s="68"/>
      <c r="Q55" s="70"/>
      <c r="R55" s="70"/>
      <c r="S55" s="20"/>
      <c r="T55" s="20"/>
      <c r="U55" s="20"/>
      <c r="V55" s="20"/>
      <c r="W55" s="20"/>
      <c r="X55" s="20"/>
    </row>
    <row r="56" spans="1:24" ht="12.75">
      <c r="A56" s="343" t="s">
        <v>566</v>
      </c>
      <c r="B56" s="344" t="s">
        <v>607</v>
      </c>
      <c r="C56" s="344" t="s">
        <v>615</v>
      </c>
      <c r="D56" s="345">
        <v>28</v>
      </c>
      <c r="E56" s="314" t="s">
        <v>582</v>
      </c>
      <c r="F56" s="270">
        <f t="shared" si="0"/>
        <v>1200</v>
      </c>
      <c r="G56" s="296">
        <f t="shared" si="1"/>
        <v>2.3333333333333334E-2</v>
      </c>
      <c r="I56" s="361"/>
      <c r="J56" s="362"/>
      <c r="K56" s="363"/>
      <c r="L56" s="311"/>
      <c r="M56" s="311"/>
      <c r="O56" s="461"/>
      <c r="P56" s="68"/>
      <c r="Q56" s="70"/>
      <c r="R56" s="70"/>
      <c r="S56" s="20"/>
      <c r="T56" s="335"/>
      <c r="U56" s="20"/>
      <c r="V56" s="20"/>
      <c r="W56" s="20"/>
      <c r="X56" s="365"/>
    </row>
    <row r="57" spans="1:24" ht="12.75">
      <c r="A57" s="343" t="s">
        <v>566</v>
      </c>
      <c r="B57" s="344" t="s">
        <v>607</v>
      </c>
      <c r="C57" s="344" t="s">
        <v>616</v>
      </c>
      <c r="D57" s="345">
        <v>28</v>
      </c>
      <c r="E57" s="314" t="s">
        <v>582</v>
      </c>
      <c r="F57" s="270">
        <f t="shared" si="0"/>
        <v>1200</v>
      </c>
      <c r="G57" s="296">
        <f t="shared" si="1"/>
        <v>2.3333333333333334E-2</v>
      </c>
      <c r="I57" s="361"/>
      <c r="J57" s="362"/>
      <c r="K57" s="363"/>
      <c r="L57" s="311"/>
      <c r="M57" s="311"/>
      <c r="O57" s="461"/>
      <c r="P57" s="68"/>
      <c r="Q57" s="65"/>
      <c r="R57" s="65"/>
      <c r="S57" s="20"/>
      <c r="T57" s="20"/>
      <c r="U57" s="20"/>
      <c r="V57" s="20"/>
      <c r="W57" s="20"/>
      <c r="X57" s="365"/>
    </row>
    <row r="58" spans="1:24" ht="12.75">
      <c r="A58" s="343" t="s">
        <v>566</v>
      </c>
      <c r="B58" s="344" t="s">
        <v>607</v>
      </c>
      <c r="C58" s="344" t="s">
        <v>617</v>
      </c>
      <c r="D58" s="345">
        <v>25.6</v>
      </c>
      <c r="E58" s="314" t="s">
        <v>489</v>
      </c>
      <c r="F58" s="270">
        <f t="shared" si="0"/>
        <v>2500</v>
      </c>
      <c r="G58" s="296">
        <f t="shared" si="1"/>
        <v>1.0240000000000001E-2</v>
      </c>
      <c r="I58" s="361"/>
      <c r="J58" s="362"/>
      <c r="K58" s="363"/>
      <c r="L58" s="311"/>
      <c r="M58" s="311"/>
      <c r="O58" s="461"/>
      <c r="P58" s="68"/>
      <c r="Q58" s="70"/>
      <c r="R58" s="70"/>
      <c r="S58" s="20"/>
      <c r="T58" s="20"/>
      <c r="U58" s="20"/>
      <c r="V58" s="20"/>
      <c r="W58" s="20"/>
      <c r="X58" s="365"/>
    </row>
    <row r="59" spans="1:24" ht="12.75">
      <c r="A59" s="343" t="s">
        <v>566</v>
      </c>
      <c r="B59" s="344" t="s">
        <v>607</v>
      </c>
      <c r="C59" s="344" t="s">
        <v>606</v>
      </c>
      <c r="D59" s="345">
        <v>27.1</v>
      </c>
      <c r="E59" s="314" t="s">
        <v>467</v>
      </c>
      <c r="F59" s="270">
        <f t="shared" si="0"/>
        <v>300</v>
      </c>
      <c r="G59" s="296">
        <f t="shared" si="1"/>
        <v>9.0333333333333335E-2</v>
      </c>
      <c r="I59" s="361"/>
      <c r="J59" s="362"/>
      <c r="K59" s="363"/>
      <c r="L59" s="311"/>
      <c r="M59" s="311"/>
      <c r="O59" s="461"/>
      <c r="P59" s="68"/>
      <c r="Q59" s="70"/>
      <c r="R59" s="70"/>
      <c r="S59" s="20"/>
      <c r="T59" s="20"/>
      <c r="U59" s="20"/>
      <c r="V59" s="20"/>
      <c r="W59" s="20"/>
      <c r="X59" s="365"/>
    </row>
    <row r="60" spans="1:24" ht="12.75">
      <c r="A60" s="343" t="s">
        <v>566</v>
      </c>
      <c r="B60" s="344" t="s">
        <v>607</v>
      </c>
      <c r="C60" s="344" t="s">
        <v>606</v>
      </c>
      <c r="D60" s="345">
        <v>27.5</v>
      </c>
      <c r="E60" s="314" t="s">
        <v>467</v>
      </c>
      <c r="F60" s="270">
        <f t="shared" si="0"/>
        <v>300</v>
      </c>
      <c r="G60" s="296">
        <f t="shared" si="1"/>
        <v>9.166666666666666E-2</v>
      </c>
      <c r="I60" s="361"/>
      <c r="J60" s="362"/>
      <c r="K60" s="363"/>
      <c r="L60" s="311"/>
      <c r="M60" s="311"/>
      <c r="O60" s="461"/>
      <c r="P60" s="68"/>
      <c r="Q60" s="70"/>
      <c r="R60" s="70"/>
      <c r="S60" s="20"/>
      <c r="T60" s="20"/>
      <c r="U60" s="20"/>
      <c r="V60" s="20"/>
      <c r="W60" s="20"/>
      <c r="X60" s="365"/>
    </row>
    <row r="61" spans="1:24" ht="12.75">
      <c r="A61" s="292" t="s">
        <v>566</v>
      </c>
      <c r="B61" s="366" t="s">
        <v>618</v>
      </c>
      <c r="C61" s="294" t="s">
        <v>608</v>
      </c>
      <c r="D61" s="79">
        <v>57.1</v>
      </c>
      <c r="E61" s="314" t="s">
        <v>454</v>
      </c>
      <c r="F61" s="270">
        <f t="shared" si="0"/>
        <v>1200</v>
      </c>
      <c r="G61" s="296">
        <f t="shared" si="1"/>
        <v>4.7583333333333332E-2</v>
      </c>
      <c r="I61" s="361"/>
      <c r="J61" s="362"/>
      <c r="K61" s="363"/>
      <c r="L61" s="311"/>
      <c r="M61" s="311"/>
      <c r="O61" s="461"/>
      <c r="P61" s="68"/>
      <c r="Q61" s="65"/>
      <c r="R61" s="65"/>
      <c r="S61" s="20"/>
      <c r="T61" s="20"/>
      <c r="U61" s="20"/>
      <c r="V61" s="20"/>
      <c r="W61" s="20"/>
      <c r="X61" s="365"/>
    </row>
    <row r="62" spans="1:24" ht="12.75">
      <c r="A62" s="292" t="s">
        <v>566</v>
      </c>
      <c r="B62" s="366" t="s">
        <v>618</v>
      </c>
      <c r="C62" s="294" t="s">
        <v>581</v>
      </c>
      <c r="D62" s="79">
        <v>28</v>
      </c>
      <c r="E62" s="314" t="s">
        <v>582</v>
      </c>
      <c r="F62" s="270">
        <f t="shared" si="0"/>
        <v>1200</v>
      </c>
      <c r="G62" s="296">
        <f t="shared" si="1"/>
        <v>2.3333333333333334E-2</v>
      </c>
      <c r="I62" s="361"/>
      <c r="J62" s="362"/>
      <c r="K62" s="354"/>
      <c r="L62" s="311"/>
      <c r="M62" s="311"/>
      <c r="O62" s="579"/>
      <c r="P62" s="68"/>
      <c r="Q62" s="70"/>
      <c r="R62" s="70"/>
      <c r="S62" s="20"/>
      <c r="T62" s="20"/>
      <c r="U62" s="20"/>
      <c r="V62" s="20"/>
      <c r="W62" s="20"/>
      <c r="X62" s="365"/>
    </row>
    <row r="63" spans="1:24" ht="12.75">
      <c r="A63" s="292" t="s">
        <v>566</v>
      </c>
      <c r="B63" s="366" t="s">
        <v>618</v>
      </c>
      <c r="C63" s="294" t="s">
        <v>586</v>
      </c>
      <c r="D63" s="79">
        <v>16.3</v>
      </c>
      <c r="E63" s="314" t="s">
        <v>582</v>
      </c>
      <c r="F63" s="270">
        <f t="shared" si="0"/>
        <v>1200</v>
      </c>
      <c r="G63" s="296">
        <f t="shared" si="1"/>
        <v>1.3583333333333334E-2</v>
      </c>
      <c r="I63" s="361"/>
      <c r="J63" s="362"/>
      <c r="K63" s="363"/>
      <c r="L63" s="311"/>
      <c r="M63" s="311"/>
      <c r="O63" s="461"/>
      <c r="P63" s="68"/>
      <c r="Q63" s="70"/>
      <c r="R63" s="70"/>
      <c r="S63" s="20"/>
      <c r="T63" s="20"/>
      <c r="U63" s="20"/>
      <c r="V63" s="20"/>
      <c r="W63" s="20"/>
      <c r="X63" s="365"/>
    </row>
    <row r="64" spans="1:24" ht="12.75">
      <c r="A64" s="292" t="s">
        <v>566</v>
      </c>
      <c r="B64" s="366" t="s">
        <v>618</v>
      </c>
      <c r="C64" s="294" t="s">
        <v>619</v>
      </c>
      <c r="D64" s="79">
        <v>11.4</v>
      </c>
      <c r="E64" s="314" t="s">
        <v>582</v>
      </c>
      <c r="F64" s="270">
        <f t="shared" si="0"/>
        <v>1200</v>
      </c>
      <c r="G64" s="296">
        <f t="shared" si="1"/>
        <v>9.4999999999999998E-3</v>
      </c>
      <c r="I64" s="336"/>
      <c r="J64" s="337"/>
      <c r="K64" s="337"/>
      <c r="L64" s="337"/>
      <c r="M64" s="337"/>
      <c r="O64" s="461"/>
      <c r="P64" s="68"/>
      <c r="Q64" s="70"/>
      <c r="R64" s="70"/>
      <c r="S64" s="20"/>
      <c r="T64" s="20"/>
      <c r="U64" s="20"/>
      <c r="V64" s="20"/>
      <c r="W64" s="20"/>
      <c r="X64" s="365"/>
    </row>
    <row r="65" spans="1:24" ht="12.75">
      <c r="A65" s="292" t="s">
        <v>566</v>
      </c>
      <c r="B65" s="366" t="s">
        <v>618</v>
      </c>
      <c r="C65" s="294" t="s">
        <v>587</v>
      </c>
      <c r="D65" s="79">
        <v>28</v>
      </c>
      <c r="E65" s="314" t="s">
        <v>582</v>
      </c>
      <c r="F65" s="270">
        <f t="shared" si="0"/>
        <v>1200</v>
      </c>
      <c r="G65" s="296">
        <f t="shared" si="1"/>
        <v>2.3333333333333334E-2</v>
      </c>
      <c r="O65" s="461"/>
      <c r="P65" s="68"/>
      <c r="Q65" s="70"/>
      <c r="R65" s="70"/>
      <c r="S65" s="20"/>
      <c r="T65" s="20"/>
      <c r="U65" s="20"/>
      <c r="V65" s="20"/>
      <c r="W65" s="20"/>
      <c r="X65" s="365"/>
    </row>
    <row r="66" spans="1:24" ht="12.75">
      <c r="A66" s="292" t="s">
        <v>566</v>
      </c>
      <c r="B66" s="366" t="s">
        <v>618</v>
      </c>
      <c r="C66" s="294" t="s">
        <v>589</v>
      </c>
      <c r="D66" s="79">
        <v>28</v>
      </c>
      <c r="E66" s="314" t="s">
        <v>582</v>
      </c>
      <c r="F66" s="270">
        <f t="shared" si="0"/>
        <v>1200</v>
      </c>
      <c r="G66" s="296">
        <f t="shared" si="1"/>
        <v>2.3333333333333334E-2</v>
      </c>
      <c r="O66" s="461"/>
      <c r="P66" s="68"/>
      <c r="Q66" s="70"/>
      <c r="R66" s="70"/>
      <c r="S66" s="20"/>
      <c r="T66" s="20"/>
      <c r="U66" s="20"/>
      <c r="V66" s="20"/>
      <c r="W66" s="20"/>
      <c r="X66" s="365"/>
    </row>
    <row r="67" spans="1:24" ht="12.75">
      <c r="A67" s="292" t="s">
        <v>566</v>
      </c>
      <c r="B67" s="366" t="s">
        <v>618</v>
      </c>
      <c r="C67" s="294" t="s">
        <v>590</v>
      </c>
      <c r="D67" s="79">
        <v>16.3</v>
      </c>
      <c r="E67" s="314" t="s">
        <v>582</v>
      </c>
      <c r="F67" s="270">
        <f t="shared" si="0"/>
        <v>1200</v>
      </c>
      <c r="G67" s="296">
        <f t="shared" si="1"/>
        <v>1.3583333333333334E-2</v>
      </c>
      <c r="O67" s="461"/>
      <c r="P67" s="68"/>
      <c r="Q67" s="70"/>
      <c r="R67" s="70"/>
      <c r="S67" s="20"/>
      <c r="T67" s="20"/>
      <c r="U67" s="20"/>
      <c r="V67" s="20"/>
      <c r="W67" s="20"/>
      <c r="X67" s="365"/>
    </row>
    <row r="68" spans="1:24" ht="12.75">
      <c r="A68" s="292" t="s">
        <v>566</v>
      </c>
      <c r="B68" s="366" t="s">
        <v>618</v>
      </c>
      <c r="C68" s="294" t="s">
        <v>620</v>
      </c>
      <c r="D68" s="79">
        <v>11.3</v>
      </c>
      <c r="E68" s="314" t="s">
        <v>582</v>
      </c>
      <c r="F68" s="270">
        <f t="shared" si="0"/>
        <v>1200</v>
      </c>
      <c r="G68" s="296">
        <f t="shared" si="1"/>
        <v>9.4166666666666669E-3</v>
      </c>
      <c r="O68" s="579"/>
      <c r="P68" s="68"/>
      <c r="Q68" s="70"/>
      <c r="R68" s="70"/>
      <c r="S68" s="20"/>
      <c r="T68" s="20"/>
      <c r="U68" s="20"/>
      <c r="V68" s="20"/>
      <c r="W68" s="20"/>
      <c r="X68" s="365"/>
    </row>
    <row r="69" spans="1:24" ht="12.75">
      <c r="A69" s="292" t="s">
        <v>566</v>
      </c>
      <c r="B69" s="366" t="s">
        <v>618</v>
      </c>
      <c r="C69" s="294" t="s">
        <v>594</v>
      </c>
      <c r="D69" s="79">
        <v>28.3</v>
      </c>
      <c r="E69" s="314" t="s">
        <v>582</v>
      </c>
      <c r="F69" s="270">
        <f t="shared" si="0"/>
        <v>1200</v>
      </c>
      <c r="G69" s="296">
        <f t="shared" si="1"/>
        <v>2.3583333333333335E-2</v>
      </c>
      <c r="O69" s="461"/>
      <c r="P69" s="68"/>
      <c r="Q69" s="70"/>
      <c r="R69" s="70"/>
      <c r="S69" s="20"/>
      <c r="T69" s="20"/>
      <c r="U69" s="20"/>
      <c r="V69" s="20"/>
      <c r="W69" s="20"/>
      <c r="X69" s="365"/>
    </row>
    <row r="70" spans="1:24" ht="12.75">
      <c r="A70" s="292" t="s">
        <v>566</v>
      </c>
      <c r="B70" s="366" t="s">
        <v>618</v>
      </c>
      <c r="C70" s="294" t="s">
        <v>598</v>
      </c>
      <c r="D70" s="79">
        <v>28</v>
      </c>
      <c r="E70" s="314" t="s">
        <v>582</v>
      </c>
      <c r="F70" s="270">
        <f t="shared" si="0"/>
        <v>1200</v>
      </c>
      <c r="G70" s="296">
        <f t="shared" si="1"/>
        <v>2.3333333333333334E-2</v>
      </c>
      <c r="O70" s="461"/>
      <c r="P70" s="68"/>
      <c r="Q70" s="70"/>
      <c r="R70" s="70"/>
      <c r="S70" s="20"/>
      <c r="T70" s="20"/>
      <c r="U70" s="20"/>
      <c r="V70" s="20"/>
      <c r="W70" s="20"/>
      <c r="X70" s="365"/>
    </row>
    <row r="71" spans="1:24" ht="12.75">
      <c r="A71" s="292" t="s">
        <v>566</v>
      </c>
      <c r="B71" s="366" t="s">
        <v>618</v>
      </c>
      <c r="C71" s="294" t="s">
        <v>602</v>
      </c>
      <c r="D71" s="79">
        <v>26.5</v>
      </c>
      <c r="E71" s="314" t="s">
        <v>582</v>
      </c>
      <c r="F71" s="270">
        <f t="shared" si="0"/>
        <v>1200</v>
      </c>
      <c r="G71" s="296">
        <f t="shared" si="1"/>
        <v>2.2083333333333333E-2</v>
      </c>
      <c r="O71" s="63"/>
      <c r="P71" s="68"/>
      <c r="Q71" s="70"/>
      <c r="R71" s="70"/>
      <c r="S71" s="20"/>
      <c r="T71" s="20"/>
      <c r="U71" s="20"/>
      <c r="V71" s="20"/>
      <c r="W71" s="20"/>
      <c r="X71" s="365"/>
    </row>
    <row r="72" spans="1:24" ht="12.75">
      <c r="A72" s="292" t="s">
        <v>566</v>
      </c>
      <c r="B72" s="366" t="s">
        <v>618</v>
      </c>
      <c r="C72" s="294" t="s">
        <v>621</v>
      </c>
      <c r="D72" s="79">
        <v>11.5</v>
      </c>
      <c r="E72" s="314" t="s">
        <v>582</v>
      </c>
      <c r="F72" s="270">
        <f t="shared" si="0"/>
        <v>1200</v>
      </c>
      <c r="G72" s="296">
        <f t="shared" si="1"/>
        <v>9.5833333333333326E-3</v>
      </c>
      <c r="O72" s="63"/>
      <c r="P72" s="68"/>
      <c r="Q72" s="70"/>
      <c r="R72" s="70"/>
      <c r="S72" s="20"/>
      <c r="T72" s="20"/>
      <c r="U72" s="20"/>
      <c r="V72" s="20"/>
      <c r="W72" s="20"/>
      <c r="X72" s="365"/>
    </row>
    <row r="73" spans="1:24" ht="12.75">
      <c r="A73" s="292" t="s">
        <v>566</v>
      </c>
      <c r="B73" s="366" t="s">
        <v>618</v>
      </c>
      <c r="C73" s="294" t="s">
        <v>605</v>
      </c>
      <c r="D73" s="79">
        <v>27.7</v>
      </c>
      <c r="E73" s="314" t="s">
        <v>582</v>
      </c>
      <c r="F73" s="270">
        <f t="shared" si="0"/>
        <v>1200</v>
      </c>
      <c r="G73" s="296">
        <f t="shared" si="1"/>
        <v>2.3083333333333334E-2</v>
      </c>
      <c r="O73" s="460"/>
      <c r="P73" s="461"/>
      <c r="Q73" s="461"/>
      <c r="R73" s="338"/>
      <c r="S73" s="72"/>
      <c r="T73" s="339"/>
      <c r="U73" s="72"/>
      <c r="V73" s="339"/>
      <c r="W73" s="72"/>
      <c r="X73" s="72"/>
    </row>
    <row r="74" spans="1:24" ht="12.75">
      <c r="A74" s="292" t="s">
        <v>566</v>
      </c>
      <c r="B74" s="366" t="s">
        <v>618</v>
      </c>
      <c r="C74" s="294" t="s">
        <v>613</v>
      </c>
      <c r="D74" s="79">
        <v>27.4</v>
      </c>
      <c r="E74" s="314" t="s">
        <v>582</v>
      </c>
      <c r="F74" s="270">
        <f t="shared" si="0"/>
        <v>1200</v>
      </c>
      <c r="G74" s="296">
        <f t="shared" si="1"/>
        <v>2.283333333333333E-2</v>
      </c>
      <c r="O74" s="460"/>
      <c r="P74" s="461"/>
      <c r="Q74" s="461"/>
      <c r="R74" s="461"/>
      <c r="S74" s="461"/>
      <c r="T74" s="461"/>
      <c r="U74" s="72"/>
      <c r="V74" s="339"/>
      <c r="W74" s="72"/>
      <c r="X74" s="72"/>
    </row>
    <row r="75" spans="1:24" ht="12.75">
      <c r="A75" s="292" t="s">
        <v>566</v>
      </c>
      <c r="B75" s="366" t="s">
        <v>618</v>
      </c>
      <c r="C75" s="294" t="s">
        <v>595</v>
      </c>
      <c r="D75" s="79">
        <v>7.7</v>
      </c>
      <c r="E75" s="314" t="s">
        <v>454</v>
      </c>
      <c r="F75" s="270">
        <f t="shared" si="0"/>
        <v>1200</v>
      </c>
      <c r="G75" s="296">
        <f t="shared" si="1"/>
        <v>6.4166666666666669E-3</v>
      </c>
      <c r="X75" s="67"/>
    </row>
    <row r="76" spans="1:24" ht="12.75">
      <c r="A76" s="292" t="s">
        <v>566</v>
      </c>
      <c r="B76" s="366" t="s">
        <v>618</v>
      </c>
      <c r="C76" s="294" t="s">
        <v>615</v>
      </c>
      <c r="D76" s="79">
        <v>32</v>
      </c>
      <c r="E76" s="314" t="s">
        <v>582</v>
      </c>
      <c r="F76" s="270">
        <f t="shared" si="0"/>
        <v>1200</v>
      </c>
      <c r="G76" s="296">
        <f t="shared" si="1"/>
        <v>2.6666666666666668E-2</v>
      </c>
    </row>
    <row r="77" spans="1:24" ht="12.75">
      <c r="A77" s="292" t="s">
        <v>566</v>
      </c>
      <c r="B77" s="366" t="s">
        <v>618</v>
      </c>
      <c r="C77" s="294" t="s">
        <v>616</v>
      </c>
      <c r="D77" s="79">
        <v>18.600000000000001</v>
      </c>
      <c r="E77" s="314" t="s">
        <v>582</v>
      </c>
      <c r="F77" s="270">
        <f t="shared" si="0"/>
        <v>1200</v>
      </c>
      <c r="G77" s="296">
        <f t="shared" si="1"/>
        <v>1.5500000000000002E-2</v>
      </c>
    </row>
    <row r="78" spans="1:24" ht="25.5">
      <c r="A78" s="292" t="s">
        <v>566</v>
      </c>
      <c r="B78" s="366" t="s">
        <v>618</v>
      </c>
      <c r="C78" s="294" t="s">
        <v>622</v>
      </c>
      <c r="D78" s="79">
        <v>6.7</v>
      </c>
      <c r="E78" s="314" t="s">
        <v>582</v>
      </c>
      <c r="F78" s="270">
        <f t="shared" si="0"/>
        <v>1200</v>
      </c>
      <c r="G78" s="296">
        <f t="shared" si="1"/>
        <v>5.5833333333333334E-3</v>
      </c>
    </row>
    <row r="79" spans="1:24" ht="12.75">
      <c r="A79" s="292" t="s">
        <v>566</v>
      </c>
      <c r="B79" s="366" t="s">
        <v>618</v>
      </c>
      <c r="C79" s="294" t="s">
        <v>623</v>
      </c>
      <c r="D79" s="79">
        <v>12.5</v>
      </c>
      <c r="E79" s="314" t="s">
        <v>582</v>
      </c>
      <c r="F79" s="270">
        <f t="shared" si="0"/>
        <v>1200</v>
      </c>
      <c r="G79" s="296">
        <f t="shared" si="1"/>
        <v>1.0416666666666666E-2</v>
      </c>
    </row>
    <row r="80" spans="1:24" ht="12.75">
      <c r="A80" s="292" t="s">
        <v>566</v>
      </c>
      <c r="B80" s="366" t="s">
        <v>618</v>
      </c>
      <c r="C80" s="294" t="s">
        <v>624</v>
      </c>
      <c r="D80" s="79">
        <v>23</v>
      </c>
      <c r="E80" s="314" t="s">
        <v>582</v>
      </c>
      <c r="F80" s="270">
        <f t="shared" si="0"/>
        <v>1200</v>
      </c>
      <c r="G80" s="296">
        <f t="shared" si="1"/>
        <v>1.9166666666666665E-2</v>
      </c>
    </row>
    <row r="81" spans="1:7" ht="12.75">
      <c r="A81" s="292" t="s">
        <v>566</v>
      </c>
      <c r="B81" s="366" t="s">
        <v>618</v>
      </c>
      <c r="C81" s="294" t="s">
        <v>595</v>
      </c>
      <c r="D81" s="79">
        <v>7.9</v>
      </c>
      <c r="E81" s="314" t="s">
        <v>582</v>
      </c>
      <c r="F81" s="270">
        <f t="shared" si="0"/>
        <v>1200</v>
      </c>
      <c r="G81" s="296">
        <f t="shared" si="1"/>
        <v>6.5833333333333334E-3</v>
      </c>
    </row>
    <row r="82" spans="1:7" ht="12.75">
      <c r="A82" s="292" t="s">
        <v>566</v>
      </c>
      <c r="B82" s="366" t="s">
        <v>618</v>
      </c>
      <c r="C82" s="294" t="s">
        <v>625</v>
      </c>
      <c r="D82" s="79">
        <v>4.5</v>
      </c>
      <c r="E82" s="314" t="s">
        <v>582</v>
      </c>
      <c r="F82" s="270">
        <f t="shared" si="0"/>
        <v>1200</v>
      </c>
      <c r="G82" s="296">
        <f t="shared" si="1"/>
        <v>3.7499999999999999E-3</v>
      </c>
    </row>
    <row r="83" spans="1:7" ht="12.75">
      <c r="A83" s="292" t="s">
        <v>566</v>
      </c>
      <c r="B83" s="366" t="s">
        <v>618</v>
      </c>
      <c r="C83" s="294" t="s">
        <v>606</v>
      </c>
      <c r="D83" s="79">
        <v>2.7</v>
      </c>
      <c r="E83" s="314" t="s">
        <v>467</v>
      </c>
      <c r="F83" s="270">
        <f t="shared" si="0"/>
        <v>300</v>
      </c>
      <c r="G83" s="296">
        <f t="shared" si="1"/>
        <v>9.0000000000000011E-3</v>
      </c>
    </row>
    <row r="84" spans="1:7" ht="12.75">
      <c r="A84" s="292" t="s">
        <v>566</v>
      </c>
      <c r="B84" s="366" t="s">
        <v>618</v>
      </c>
      <c r="C84" s="294" t="s">
        <v>606</v>
      </c>
      <c r="D84" s="79">
        <v>2.7</v>
      </c>
      <c r="E84" s="314" t="s">
        <v>467</v>
      </c>
      <c r="F84" s="270">
        <f t="shared" si="0"/>
        <v>300</v>
      </c>
      <c r="G84" s="296">
        <f t="shared" si="1"/>
        <v>9.0000000000000011E-3</v>
      </c>
    </row>
    <row r="85" spans="1:7" ht="12.75">
      <c r="A85" s="292" t="s">
        <v>566</v>
      </c>
      <c r="B85" s="366" t="s">
        <v>618</v>
      </c>
      <c r="C85" s="294" t="s">
        <v>626</v>
      </c>
      <c r="D85" s="79">
        <v>56.4</v>
      </c>
      <c r="E85" s="314" t="s">
        <v>582</v>
      </c>
      <c r="F85" s="270">
        <f t="shared" si="0"/>
        <v>1200</v>
      </c>
      <c r="G85" s="296">
        <f t="shared" si="1"/>
        <v>4.7E-2</v>
      </c>
    </row>
    <row r="86" spans="1:7" ht="12.75">
      <c r="A86" s="292" t="s">
        <v>566</v>
      </c>
      <c r="B86" s="366" t="s">
        <v>618</v>
      </c>
      <c r="C86" s="294" t="s">
        <v>601</v>
      </c>
      <c r="D86" s="79">
        <v>28.3</v>
      </c>
      <c r="E86" s="314" t="s">
        <v>582</v>
      </c>
      <c r="F86" s="270">
        <f t="shared" si="0"/>
        <v>1200</v>
      </c>
      <c r="G86" s="296">
        <f t="shared" si="1"/>
        <v>2.3583333333333335E-2</v>
      </c>
    </row>
    <row r="87" spans="1:7" ht="12.75">
      <c r="A87" s="292" t="s">
        <v>566</v>
      </c>
      <c r="B87" s="366" t="s">
        <v>618</v>
      </c>
      <c r="C87" s="294" t="s">
        <v>627</v>
      </c>
      <c r="D87" s="79">
        <v>56.5</v>
      </c>
      <c r="E87" s="314" t="s">
        <v>582</v>
      </c>
      <c r="F87" s="270">
        <f t="shared" si="0"/>
        <v>1200</v>
      </c>
      <c r="G87" s="296">
        <f t="shared" si="1"/>
        <v>4.7083333333333331E-2</v>
      </c>
    </row>
    <row r="88" spans="1:7" ht="12.75">
      <c r="A88" s="292" t="s">
        <v>566</v>
      </c>
      <c r="B88" s="366" t="s">
        <v>618</v>
      </c>
      <c r="C88" s="294" t="s">
        <v>628</v>
      </c>
      <c r="D88" s="79">
        <v>25.5</v>
      </c>
      <c r="E88" s="314" t="s">
        <v>582</v>
      </c>
      <c r="F88" s="270">
        <f t="shared" si="0"/>
        <v>1200</v>
      </c>
      <c r="G88" s="296">
        <f t="shared" si="1"/>
        <v>2.1250000000000002E-2</v>
      </c>
    </row>
    <row r="89" spans="1:7" ht="25.5">
      <c r="A89" s="292" t="s">
        <v>566</v>
      </c>
      <c r="B89" s="366" t="s">
        <v>618</v>
      </c>
      <c r="C89" s="294" t="s">
        <v>629</v>
      </c>
      <c r="D89" s="79">
        <v>81</v>
      </c>
      <c r="E89" s="314" t="s">
        <v>582</v>
      </c>
      <c r="F89" s="270">
        <f t="shared" si="0"/>
        <v>1200</v>
      </c>
      <c r="G89" s="296">
        <f t="shared" si="1"/>
        <v>6.7500000000000004E-2</v>
      </c>
    </row>
    <row r="90" spans="1:7" ht="12.75">
      <c r="A90" s="292" t="s">
        <v>566</v>
      </c>
      <c r="B90" s="366" t="s">
        <v>618</v>
      </c>
      <c r="C90" s="294" t="s">
        <v>606</v>
      </c>
      <c r="D90" s="79">
        <v>27.1</v>
      </c>
      <c r="E90" s="314" t="s">
        <v>467</v>
      </c>
      <c r="F90" s="270">
        <f t="shared" si="0"/>
        <v>300</v>
      </c>
      <c r="G90" s="296">
        <f t="shared" si="1"/>
        <v>9.0333333333333335E-2</v>
      </c>
    </row>
    <row r="91" spans="1:7" ht="12.75">
      <c r="A91" s="292" t="s">
        <v>566</v>
      </c>
      <c r="B91" s="366" t="s">
        <v>618</v>
      </c>
      <c r="C91" s="294" t="s">
        <v>606</v>
      </c>
      <c r="D91" s="79">
        <v>27.5</v>
      </c>
      <c r="E91" s="314" t="s">
        <v>467</v>
      </c>
      <c r="F91" s="270">
        <f t="shared" si="0"/>
        <v>300</v>
      </c>
      <c r="G91" s="296">
        <f t="shared" si="1"/>
        <v>9.166666666666666E-2</v>
      </c>
    </row>
    <row r="92" spans="1:7" ht="12.75">
      <c r="A92" s="292" t="s">
        <v>630</v>
      </c>
      <c r="B92" s="366" t="s">
        <v>631</v>
      </c>
      <c r="C92" s="294" t="s">
        <v>632</v>
      </c>
      <c r="D92" s="79">
        <v>113.1</v>
      </c>
      <c r="E92" s="314" t="s">
        <v>454</v>
      </c>
      <c r="F92" s="270">
        <f t="shared" si="0"/>
        <v>1200</v>
      </c>
      <c r="G92" s="296">
        <f t="shared" si="1"/>
        <v>9.425E-2</v>
      </c>
    </row>
    <row r="93" spans="1:7" ht="25.5">
      <c r="A93" s="292" t="s">
        <v>630</v>
      </c>
      <c r="B93" s="366" t="s">
        <v>631</v>
      </c>
      <c r="C93" s="294" t="s">
        <v>633</v>
      </c>
      <c r="D93" s="79">
        <v>13.1</v>
      </c>
      <c r="E93" s="314" t="s">
        <v>454</v>
      </c>
      <c r="F93" s="270">
        <f t="shared" si="0"/>
        <v>1200</v>
      </c>
      <c r="G93" s="296">
        <f t="shared" si="1"/>
        <v>1.0916666666666667E-2</v>
      </c>
    </row>
    <row r="94" spans="1:7" ht="12.75">
      <c r="A94" s="292" t="s">
        <v>630</v>
      </c>
      <c r="B94" s="366" t="s">
        <v>631</v>
      </c>
      <c r="C94" s="294" t="s">
        <v>634</v>
      </c>
      <c r="D94" s="79">
        <v>13</v>
      </c>
      <c r="E94" s="314" t="s">
        <v>454</v>
      </c>
      <c r="F94" s="270">
        <f t="shared" si="0"/>
        <v>1200</v>
      </c>
      <c r="G94" s="296">
        <f t="shared" si="1"/>
        <v>1.0833333333333334E-2</v>
      </c>
    </row>
    <row r="95" spans="1:7" ht="12.75">
      <c r="A95" s="292" t="s">
        <v>630</v>
      </c>
      <c r="B95" s="366" t="s">
        <v>631</v>
      </c>
      <c r="C95" s="294" t="s">
        <v>634</v>
      </c>
      <c r="D95" s="79">
        <v>13.1</v>
      </c>
      <c r="E95" s="314" t="s">
        <v>454</v>
      </c>
      <c r="F95" s="270">
        <f t="shared" si="0"/>
        <v>1200</v>
      </c>
      <c r="G95" s="296">
        <f t="shared" si="1"/>
        <v>1.0916666666666667E-2</v>
      </c>
    </row>
    <row r="96" spans="1:7" ht="25.5">
      <c r="A96" s="292" t="s">
        <v>630</v>
      </c>
      <c r="B96" s="366" t="s">
        <v>631</v>
      </c>
      <c r="C96" s="294" t="s">
        <v>635</v>
      </c>
      <c r="D96" s="79">
        <v>17</v>
      </c>
      <c r="E96" s="314" t="s">
        <v>454</v>
      </c>
      <c r="F96" s="270">
        <f t="shared" si="0"/>
        <v>1200</v>
      </c>
      <c r="G96" s="296">
        <f t="shared" si="1"/>
        <v>1.4166666666666666E-2</v>
      </c>
    </row>
    <row r="97" spans="1:7" ht="25.5">
      <c r="A97" s="292" t="s">
        <v>630</v>
      </c>
      <c r="B97" s="366" t="s">
        <v>631</v>
      </c>
      <c r="C97" s="294" t="s">
        <v>636</v>
      </c>
      <c r="D97" s="79">
        <v>18</v>
      </c>
      <c r="E97" s="314" t="s">
        <v>454</v>
      </c>
      <c r="F97" s="270">
        <f t="shared" si="0"/>
        <v>1200</v>
      </c>
      <c r="G97" s="296">
        <f t="shared" si="1"/>
        <v>1.4999999999999999E-2</v>
      </c>
    </row>
    <row r="98" spans="1:7" ht="12.75">
      <c r="A98" s="292" t="s">
        <v>630</v>
      </c>
      <c r="B98" s="366" t="s">
        <v>631</v>
      </c>
      <c r="C98" s="294" t="s">
        <v>637</v>
      </c>
      <c r="D98" s="79">
        <v>18</v>
      </c>
      <c r="E98" s="314" t="s">
        <v>454</v>
      </c>
      <c r="F98" s="270">
        <f t="shared" si="0"/>
        <v>1200</v>
      </c>
      <c r="G98" s="296">
        <f t="shared" si="1"/>
        <v>1.4999999999999999E-2</v>
      </c>
    </row>
    <row r="99" spans="1:7" ht="25.5">
      <c r="A99" s="292" t="s">
        <v>630</v>
      </c>
      <c r="B99" s="366" t="s">
        <v>631</v>
      </c>
      <c r="C99" s="294" t="s">
        <v>638</v>
      </c>
      <c r="D99" s="79">
        <v>42.7</v>
      </c>
      <c r="E99" s="314" t="s">
        <v>454</v>
      </c>
      <c r="F99" s="270">
        <f t="shared" si="0"/>
        <v>1200</v>
      </c>
      <c r="G99" s="296">
        <f t="shared" si="1"/>
        <v>3.5583333333333335E-2</v>
      </c>
    </row>
    <row r="100" spans="1:7" ht="25.5">
      <c r="A100" s="292" t="s">
        <v>630</v>
      </c>
      <c r="B100" s="366" t="s">
        <v>631</v>
      </c>
      <c r="C100" s="294" t="s">
        <v>639</v>
      </c>
      <c r="D100" s="79">
        <v>19.399999999999999</v>
      </c>
      <c r="E100" s="314" t="s">
        <v>467</v>
      </c>
      <c r="F100" s="270">
        <f t="shared" si="0"/>
        <v>300</v>
      </c>
      <c r="G100" s="296">
        <f t="shared" si="1"/>
        <v>6.4666666666666664E-2</v>
      </c>
    </row>
    <row r="101" spans="1:7" ht="25.5">
      <c r="A101" s="292" t="s">
        <v>630</v>
      </c>
      <c r="B101" s="366" t="s">
        <v>631</v>
      </c>
      <c r="C101" s="294" t="s">
        <v>640</v>
      </c>
      <c r="D101" s="79">
        <v>19.399999999999999</v>
      </c>
      <c r="E101" s="314" t="s">
        <v>467</v>
      </c>
      <c r="F101" s="270">
        <f t="shared" si="0"/>
        <v>300</v>
      </c>
      <c r="G101" s="296">
        <f t="shared" si="1"/>
        <v>6.4666666666666664E-2</v>
      </c>
    </row>
    <row r="102" spans="1:7" ht="12.75">
      <c r="A102" s="292" t="s">
        <v>630</v>
      </c>
      <c r="B102" s="366" t="s">
        <v>631</v>
      </c>
      <c r="C102" s="294" t="s">
        <v>641</v>
      </c>
      <c r="D102" s="79">
        <v>12.4</v>
      </c>
      <c r="E102" s="314" t="s">
        <v>489</v>
      </c>
      <c r="F102" s="270">
        <f t="shared" si="0"/>
        <v>2500</v>
      </c>
      <c r="G102" s="296">
        <f t="shared" si="1"/>
        <v>4.96E-3</v>
      </c>
    </row>
    <row r="103" spans="1:7" ht="25.5">
      <c r="A103" s="292" t="s">
        <v>630</v>
      </c>
      <c r="B103" s="366" t="s">
        <v>631</v>
      </c>
      <c r="C103" s="294" t="s">
        <v>642</v>
      </c>
      <c r="D103" s="79">
        <v>565.29999999999995</v>
      </c>
      <c r="E103" s="314" t="s">
        <v>573</v>
      </c>
      <c r="F103" s="270">
        <f t="shared" si="0"/>
        <v>1500</v>
      </c>
      <c r="G103" s="296">
        <f t="shared" si="1"/>
        <v>0.37686666666666663</v>
      </c>
    </row>
    <row r="104" spans="1:7" ht="25.5">
      <c r="A104" s="292" t="s">
        <v>630</v>
      </c>
      <c r="B104" s="366" t="s">
        <v>631</v>
      </c>
      <c r="C104" s="294" t="s">
        <v>643</v>
      </c>
      <c r="D104" s="79">
        <v>22.1</v>
      </c>
      <c r="E104" s="314" t="s">
        <v>467</v>
      </c>
      <c r="F104" s="270">
        <f t="shared" si="0"/>
        <v>300</v>
      </c>
      <c r="G104" s="296">
        <f t="shared" si="1"/>
        <v>7.3666666666666672E-2</v>
      </c>
    </row>
    <row r="105" spans="1:7" ht="38.25">
      <c r="A105" s="292" t="s">
        <v>630</v>
      </c>
      <c r="B105" s="366" t="s">
        <v>631</v>
      </c>
      <c r="C105" s="294" t="s">
        <v>644</v>
      </c>
      <c r="D105" s="79">
        <v>21.9</v>
      </c>
      <c r="E105" s="314" t="s">
        <v>467</v>
      </c>
      <c r="F105" s="270">
        <f t="shared" si="0"/>
        <v>300</v>
      </c>
      <c r="G105" s="296">
        <f t="shared" si="1"/>
        <v>7.2999999999999995E-2</v>
      </c>
    </row>
    <row r="106" spans="1:7" ht="12.75">
      <c r="A106" s="292" t="s">
        <v>630</v>
      </c>
      <c r="B106" s="366" t="s">
        <v>578</v>
      </c>
      <c r="C106" s="294" t="s">
        <v>645</v>
      </c>
      <c r="D106" s="79">
        <v>127.23</v>
      </c>
      <c r="E106" s="314" t="s">
        <v>582</v>
      </c>
      <c r="F106" s="270">
        <f t="shared" si="0"/>
        <v>1200</v>
      </c>
      <c r="G106" s="296">
        <f t="shared" si="1"/>
        <v>0.10602500000000001</v>
      </c>
    </row>
    <row r="107" spans="1:7" ht="25.5">
      <c r="A107" s="292" t="s">
        <v>630</v>
      </c>
      <c r="B107" s="366" t="s">
        <v>578</v>
      </c>
      <c r="C107" s="294" t="s">
        <v>646</v>
      </c>
      <c r="D107" s="79">
        <v>51.65</v>
      </c>
      <c r="E107" s="314" t="s">
        <v>582</v>
      </c>
      <c r="F107" s="270">
        <f t="shared" si="0"/>
        <v>1200</v>
      </c>
      <c r="G107" s="296">
        <f t="shared" si="1"/>
        <v>4.3041666666666666E-2</v>
      </c>
    </row>
    <row r="108" spans="1:7" ht="12.75">
      <c r="A108" s="292" t="s">
        <v>630</v>
      </c>
      <c r="B108" s="366" t="s">
        <v>578</v>
      </c>
      <c r="C108" s="294" t="s">
        <v>647</v>
      </c>
      <c r="D108" s="79">
        <v>51.43</v>
      </c>
      <c r="E108" s="314" t="s">
        <v>582</v>
      </c>
      <c r="F108" s="270">
        <f t="shared" si="0"/>
        <v>1200</v>
      </c>
      <c r="G108" s="296">
        <f t="shared" si="1"/>
        <v>4.2858333333333332E-2</v>
      </c>
    </row>
    <row r="109" spans="1:7" ht="12.75">
      <c r="A109" s="292" t="s">
        <v>630</v>
      </c>
      <c r="B109" s="366" t="s">
        <v>578</v>
      </c>
      <c r="C109" s="294" t="s">
        <v>648</v>
      </c>
      <c r="D109" s="79">
        <v>51.51</v>
      </c>
      <c r="E109" s="314" t="s">
        <v>582</v>
      </c>
      <c r="F109" s="270">
        <f t="shared" si="0"/>
        <v>1200</v>
      </c>
      <c r="G109" s="296">
        <f t="shared" si="1"/>
        <v>4.2924999999999998E-2</v>
      </c>
    </row>
    <row r="110" spans="1:7" ht="12.75">
      <c r="A110" s="292" t="s">
        <v>630</v>
      </c>
      <c r="B110" s="366" t="s">
        <v>578</v>
      </c>
      <c r="C110" s="294" t="s">
        <v>649</v>
      </c>
      <c r="D110" s="79">
        <v>51.68</v>
      </c>
      <c r="E110" s="314" t="s">
        <v>582</v>
      </c>
      <c r="F110" s="270">
        <f t="shared" si="0"/>
        <v>1200</v>
      </c>
      <c r="G110" s="296">
        <f t="shared" si="1"/>
        <v>4.306666666666667E-2</v>
      </c>
    </row>
    <row r="111" spans="1:7" ht="12.75">
      <c r="A111" s="292" t="s">
        <v>630</v>
      </c>
      <c r="B111" s="366" t="s">
        <v>578</v>
      </c>
      <c r="C111" s="294" t="s">
        <v>650</v>
      </c>
      <c r="D111" s="79">
        <v>51.71</v>
      </c>
      <c r="E111" s="314" t="s">
        <v>582</v>
      </c>
      <c r="F111" s="270">
        <f t="shared" si="0"/>
        <v>1200</v>
      </c>
      <c r="G111" s="296">
        <f t="shared" si="1"/>
        <v>4.3091666666666667E-2</v>
      </c>
    </row>
    <row r="112" spans="1:7" ht="12.75">
      <c r="A112" s="292" t="s">
        <v>630</v>
      </c>
      <c r="B112" s="366" t="s">
        <v>578</v>
      </c>
      <c r="C112" s="294" t="s">
        <v>651</v>
      </c>
      <c r="D112" s="79">
        <v>51.56</v>
      </c>
      <c r="E112" s="314" t="s">
        <v>582</v>
      </c>
      <c r="F112" s="270">
        <f t="shared" si="0"/>
        <v>1200</v>
      </c>
      <c r="G112" s="296">
        <f t="shared" si="1"/>
        <v>4.2966666666666667E-2</v>
      </c>
    </row>
    <row r="113" spans="1:7" ht="12.75">
      <c r="A113" s="292" t="s">
        <v>630</v>
      </c>
      <c r="B113" s="366" t="s">
        <v>578</v>
      </c>
      <c r="C113" s="294" t="s">
        <v>652</v>
      </c>
      <c r="D113" s="79">
        <v>51.86</v>
      </c>
      <c r="E113" s="314" t="s">
        <v>582</v>
      </c>
      <c r="F113" s="270">
        <f t="shared" si="0"/>
        <v>1200</v>
      </c>
      <c r="G113" s="296">
        <f t="shared" si="1"/>
        <v>4.3216666666666667E-2</v>
      </c>
    </row>
    <row r="114" spans="1:7" ht="12.75">
      <c r="A114" s="292" t="s">
        <v>630</v>
      </c>
      <c r="B114" s="366" t="s">
        <v>578</v>
      </c>
      <c r="C114" s="294" t="s">
        <v>653</v>
      </c>
      <c r="D114" s="79">
        <v>104.09</v>
      </c>
      <c r="E114" s="314" t="s">
        <v>582</v>
      </c>
      <c r="F114" s="270">
        <f t="shared" si="0"/>
        <v>1200</v>
      </c>
      <c r="G114" s="296">
        <f t="shared" si="1"/>
        <v>8.6741666666666675E-2</v>
      </c>
    </row>
    <row r="115" spans="1:7" ht="12.75">
      <c r="A115" s="292" t="s">
        <v>630</v>
      </c>
      <c r="B115" s="366" t="s">
        <v>578</v>
      </c>
      <c r="C115" s="294" t="s">
        <v>654</v>
      </c>
      <c r="D115" s="79">
        <v>51.53</v>
      </c>
      <c r="E115" s="314" t="s">
        <v>582</v>
      </c>
      <c r="F115" s="270">
        <f t="shared" si="0"/>
        <v>1200</v>
      </c>
      <c r="G115" s="296">
        <f t="shared" si="1"/>
        <v>4.294166666666667E-2</v>
      </c>
    </row>
    <row r="116" spans="1:7" ht="12.75">
      <c r="A116" s="292" t="s">
        <v>630</v>
      </c>
      <c r="B116" s="366" t="s">
        <v>578</v>
      </c>
      <c r="C116" s="294" t="s">
        <v>597</v>
      </c>
      <c r="D116" s="79">
        <v>17.8</v>
      </c>
      <c r="E116" s="314" t="s">
        <v>489</v>
      </c>
      <c r="F116" s="270">
        <f t="shared" si="0"/>
        <v>2500</v>
      </c>
      <c r="G116" s="296">
        <f t="shared" si="1"/>
        <v>7.1200000000000005E-3</v>
      </c>
    </row>
    <row r="117" spans="1:7" ht="12.75">
      <c r="A117" s="292" t="s">
        <v>630</v>
      </c>
      <c r="B117" s="366" t="s">
        <v>578</v>
      </c>
      <c r="C117" s="294" t="s">
        <v>655</v>
      </c>
      <c r="D117" s="79">
        <v>150.69999999999999</v>
      </c>
      <c r="E117" s="314" t="s">
        <v>454</v>
      </c>
      <c r="F117" s="270">
        <f t="shared" si="0"/>
        <v>1200</v>
      </c>
      <c r="G117" s="296">
        <f t="shared" si="1"/>
        <v>0.12558333333333332</v>
      </c>
    </row>
    <row r="118" spans="1:7" ht="12.75">
      <c r="A118" s="292" t="s">
        <v>630</v>
      </c>
      <c r="B118" s="366" t="s">
        <v>578</v>
      </c>
      <c r="C118" s="294" t="s">
        <v>467</v>
      </c>
      <c r="D118" s="367">
        <f>22.1+21.9</f>
        <v>44</v>
      </c>
      <c r="E118" s="314" t="s">
        <v>467</v>
      </c>
      <c r="F118" s="270">
        <f t="shared" si="0"/>
        <v>300</v>
      </c>
      <c r="G118" s="296">
        <f t="shared" si="1"/>
        <v>0.14666666666666667</v>
      </c>
    </row>
    <row r="119" spans="1:7" ht="12.75">
      <c r="A119" s="292" t="s">
        <v>630</v>
      </c>
      <c r="B119" s="366" t="s">
        <v>578</v>
      </c>
      <c r="C119" s="294" t="s">
        <v>517</v>
      </c>
      <c r="D119" s="367">
        <f>2.6+12.6</f>
        <v>15.2</v>
      </c>
      <c r="E119" s="314" t="s">
        <v>489</v>
      </c>
      <c r="F119" s="270">
        <f t="shared" si="0"/>
        <v>2500</v>
      </c>
      <c r="G119" s="296">
        <f t="shared" si="1"/>
        <v>6.0799999999999995E-3</v>
      </c>
    </row>
    <row r="120" spans="1:7" ht="12.75">
      <c r="A120" s="292" t="s">
        <v>630</v>
      </c>
      <c r="B120" s="366" t="s">
        <v>607</v>
      </c>
      <c r="C120" s="294" t="s">
        <v>656</v>
      </c>
      <c r="D120" s="79">
        <v>51.6</v>
      </c>
      <c r="E120" s="314" t="s">
        <v>582</v>
      </c>
      <c r="F120" s="270">
        <f t="shared" si="0"/>
        <v>1200</v>
      </c>
      <c r="G120" s="296">
        <f t="shared" si="1"/>
        <v>4.3000000000000003E-2</v>
      </c>
    </row>
    <row r="121" spans="1:7" ht="12.75">
      <c r="A121" s="292" t="s">
        <v>630</v>
      </c>
      <c r="B121" s="366" t="s">
        <v>607</v>
      </c>
      <c r="C121" s="294" t="s">
        <v>657</v>
      </c>
      <c r="D121" s="79">
        <v>52.73</v>
      </c>
      <c r="E121" s="314" t="s">
        <v>582</v>
      </c>
      <c r="F121" s="270">
        <f t="shared" si="0"/>
        <v>1200</v>
      </c>
      <c r="G121" s="296">
        <f t="shared" si="1"/>
        <v>4.3941666666666664E-2</v>
      </c>
    </row>
    <row r="122" spans="1:7" ht="12.75">
      <c r="A122" s="292" t="s">
        <v>630</v>
      </c>
      <c r="B122" s="366" t="s">
        <v>607</v>
      </c>
      <c r="C122" s="294" t="s">
        <v>658</v>
      </c>
      <c r="D122" s="79">
        <v>51.25</v>
      </c>
      <c r="E122" s="314" t="s">
        <v>582</v>
      </c>
      <c r="F122" s="270">
        <f t="shared" si="0"/>
        <v>1200</v>
      </c>
      <c r="G122" s="296">
        <f t="shared" si="1"/>
        <v>4.2708333333333334E-2</v>
      </c>
    </row>
    <row r="123" spans="1:7" ht="12.75">
      <c r="A123" s="292" t="s">
        <v>630</v>
      </c>
      <c r="B123" s="366" t="s">
        <v>607</v>
      </c>
      <c r="C123" s="294" t="s">
        <v>659</v>
      </c>
      <c r="D123" s="79">
        <v>51.44</v>
      </c>
      <c r="E123" s="314" t="s">
        <v>582</v>
      </c>
      <c r="F123" s="270">
        <f t="shared" si="0"/>
        <v>1200</v>
      </c>
      <c r="G123" s="296">
        <f t="shared" si="1"/>
        <v>4.2866666666666664E-2</v>
      </c>
    </row>
    <row r="124" spans="1:7" ht="12.75">
      <c r="A124" s="292" t="s">
        <v>630</v>
      </c>
      <c r="B124" s="366" t="s">
        <v>607</v>
      </c>
      <c r="C124" s="294" t="s">
        <v>660</v>
      </c>
      <c r="D124" s="79">
        <v>51.32</v>
      </c>
      <c r="E124" s="314" t="s">
        <v>582</v>
      </c>
      <c r="F124" s="270">
        <f t="shared" si="0"/>
        <v>1200</v>
      </c>
      <c r="G124" s="296">
        <f t="shared" si="1"/>
        <v>4.2766666666666668E-2</v>
      </c>
    </row>
    <row r="125" spans="1:7" ht="12.75">
      <c r="A125" s="292" t="s">
        <v>630</v>
      </c>
      <c r="B125" s="366" t="s">
        <v>607</v>
      </c>
      <c r="C125" s="294" t="s">
        <v>661</v>
      </c>
      <c r="D125" s="79">
        <v>51.05</v>
      </c>
      <c r="E125" s="314" t="s">
        <v>582</v>
      </c>
      <c r="F125" s="270">
        <f t="shared" si="0"/>
        <v>1200</v>
      </c>
      <c r="G125" s="296">
        <f t="shared" si="1"/>
        <v>4.2541666666666665E-2</v>
      </c>
    </row>
    <row r="126" spans="1:7" ht="12.75">
      <c r="A126" s="292" t="s">
        <v>630</v>
      </c>
      <c r="B126" s="366" t="s">
        <v>607</v>
      </c>
      <c r="C126" s="294" t="s">
        <v>662</v>
      </c>
      <c r="D126" s="79">
        <v>51.55</v>
      </c>
      <c r="E126" s="314" t="s">
        <v>582</v>
      </c>
      <c r="F126" s="270">
        <f t="shared" si="0"/>
        <v>1200</v>
      </c>
      <c r="G126" s="296">
        <f t="shared" si="1"/>
        <v>4.2958333333333328E-2</v>
      </c>
    </row>
    <row r="127" spans="1:7" ht="12.75">
      <c r="A127" s="292" t="s">
        <v>630</v>
      </c>
      <c r="B127" s="366" t="s">
        <v>607</v>
      </c>
      <c r="C127" s="294" t="s">
        <v>663</v>
      </c>
      <c r="D127" s="79">
        <v>50.9</v>
      </c>
      <c r="E127" s="314" t="s">
        <v>582</v>
      </c>
      <c r="F127" s="270">
        <f t="shared" si="0"/>
        <v>1200</v>
      </c>
      <c r="G127" s="296">
        <f t="shared" si="1"/>
        <v>4.2416666666666665E-2</v>
      </c>
    </row>
    <row r="128" spans="1:7" ht="12.75">
      <c r="A128" s="292" t="s">
        <v>630</v>
      </c>
      <c r="B128" s="366" t="s">
        <v>607</v>
      </c>
      <c r="C128" s="294" t="s">
        <v>664</v>
      </c>
      <c r="D128" s="79">
        <v>51.6</v>
      </c>
      <c r="E128" s="314" t="s">
        <v>582</v>
      </c>
      <c r="F128" s="270">
        <f t="shared" si="0"/>
        <v>1200</v>
      </c>
      <c r="G128" s="296">
        <f t="shared" si="1"/>
        <v>4.3000000000000003E-2</v>
      </c>
    </row>
    <row r="129" spans="1:7" ht="12.75">
      <c r="A129" s="292" t="s">
        <v>630</v>
      </c>
      <c r="B129" s="366" t="s">
        <v>607</v>
      </c>
      <c r="C129" s="294" t="s">
        <v>665</v>
      </c>
      <c r="D129" s="79">
        <v>51.24</v>
      </c>
      <c r="E129" s="314" t="s">
        <v>582</v>
      </c>
      <c r="F129" s="270">
        <f t="shared" si="0"/>
        <v>1200</v>
      </c>
      <c r="G129" s="296">
        <f t="shared" si="1"/>
        <v>4.2700000000000002E-2</v>
      </c>
    </row>
    <row r="130" spans="1:7" ht="12.75">
      <c r="A130" s="292" t="s">
        <v>630</v>
      </c>
      <c r="B130" s="366" t="s">
        <v>607</v>
      </c>
      <c r="C130" s="294" t="s">
        <v>666</v>
      </c>
      <c r="D130" s="79">
        <v>130.6</v>
      </c>
      <c r="E130" s="314" t="s">
        <v>582</v>
      </c>
      <c r="F130" s="270">
        <f t="shared" si="0"/>
        <v>1200</v>
      </c>
      <c r="G130" s="296">
        <f t="shared" si="1"/>
        <v>0.10883333333333332</v>
      </c>
    </row>
    <row r="131" spans="1:7" ht="12.75">
      <c r="A131" s="292" t="s">
        <v>630</v>
      </c>
      <c r="B131" s="366" t="s">
        <v>607</v>
      </c>
      <c r="C131" s="294" t="s">
        <v>597</v>
      </c>
      <c r="D131" s="79">
        <v>17.8</v>
      </c>
      <c r="E131" s="314" t="s">
        <v>489</v>
      </c>
      <c r="F131" s="270">
        <f t="shared" si="0"/>
        <v>2500</v>
      </c>
      <c r="G131" s="296">
        <f t="shared" si="1"/>
        <v>7.1200000000000005E-3</v>
      </c>
    </row>
    <row r="132" spans="1:7" ht="12.75">
      <c r="A132" s="292" t="s">
        <v>630</v>
      </c>
      <c r="B132" s="366" t="s">
        <v>607</v>
      </c>
      <c r="C132" s="294" t="s">
        <v>655</v>
      </c>
      <c r="D132" s="79">
        <v>99.2</v>
      </c>
      <c r="E132" s="314" t="s">
        <v>454</v>
      </c>
      <c r="F132" s="270">
        <f t="shared" si="0"/>
        <v>1200</v>
      </c>
      <c r="G132" s="296">
        <f t="shared" si="1"/>
        <v>8.2666666666666666E-2</v>
      </c>
    </row>
    <row r="133" spans="1:7" ht="12.75">
      <c r="A133" s="292" t="s">
        <v>630</v>
      </c>
      <c r="B133" s="366" t="s">
        <v>607</v>
      </c>
      <c r="C133" s="294" t="s">
        <v>576</v>
      </c>
      <c r="D133" s="367">
        <f>22.3+22.2</f>
        <v>44.5</v>
      </c>
      <c r="E133" s="314" t="s">
        <v>467</v>
      </c>
      <c r="F133" s="270">
        <f t="shared" si="0"/>
        <v>300</v>
      </c>
      <c r="G133" s="296">
        <f t="shared" si="1"/>
        <v>0.14833333333333334</v>
      </c>
    </row>
    <row r="134" spans="1:7" ht="12.75">
      <c r="A134" s="292" t="s">
        <v>630</v>
      </c>
      <c r="B134" s="366" t="s">
        <v>607</v>
      </c>
      <c r="C134" s="294" t="s">
        <v>517</v>
      </c>
      <c r="D134" s="367">
        <f>12.6+2.6</f>
        <v>15.2</v>
      </c>
      <c r="E134" s="314" t="s">
        <v>489</v>
      </c>
      <c r="F134" s="270">
        <f t="shared" si="0"/>
        <v>2500</v>
      </c>
      <c r="G134" s="296">
        <f t="shared" si="1"/>
        <v>6.0799999999999995E-3</v>
      </c>
    </row>
    <row r="135" spans="1:7" ht="25.5">
      <c r="A135" s="292" t="s">
        <v>667</v>
      </c>
      <c r="B135" s="294" t="s">
        <v>631</v>
      </c>
      <c r="C135" s="294" t="s">
        <v>668</v>
      </c>
      <c r="D135" s="79">
        <v>597.9</v>
      </c>
      <c r="E135" s="314" t="s">
        <v>573</v>
      </c>
      <c r="F135" s="270">
        <f t="shared" si="0"/>
        <v>1500</v>
      </c>
      <c r="G135" s="296">
        <f t="shared" si="1"/>
        <v>0.39860000000000001</v>
      </c>
    </row>
    <row r="136" spans="1:7" ht="12.75">
      <c r="A136" s="292" t="s">
        <v>667</v>
      </c>
      <c r="B136" s="294" t="s">
        <v>631</v>
      </c>
      <c r="C136" s="294" t="s">
        <v>669</v>
      </c>
      <c r="D136" s="79">
        <v>29.3</v>
      </c>
      <c r="E136" s="314" t="s">
        <v>454</v>
      </c>
      <c r="F136" s="270">
        <f t="shared" si="0"/>
        <v>1200</v>
      </c>
      <c r="G136" s="296">
        <f t="shared" si="1"/>
        <v>2.4416666666666666E-2</v>
      </c>
    </row>
    <row r="137" spans="1:7" ht="25.5">
      <c r="A137" s="292" t="s">
        <v>667</v>
      </c>
      <c r="B137" s="294" t="s">
        <v>631</v>
      </c>
      <c r="C137" s="294" t="s">
        <v>670</v>
      </c>
      <c r="D137" s="79">
        <v>2.1</v>
      </c>
      <c r="E137" s="314" t="s">
        <v>467</v>
      </c>
      <c r="F137" s="270">
        <f t="shared" si="0"/>
        <v>300</v>
      </c>
      <c r="G137" s="296">
        <f t="shared" si="1"/>
        <v>7.0000000000000001E-3</v>
      </c>
    </row>
    <row r="138" spans="1:7" ht="25.5">
      <c r="A138" s="292" t="s">
        <v>667</v>
      </c>
      <c r="B138" s="294" t="s">
        <v>631</v>
      </c>
      <c r="C138" s="294" t="s">
        <v>671</v>
      </c>
      <c r="D138" s="79">
        <v>4.4000000000000004</v>
      </c>
      <c r="E138" s="314" t="s">
        <v>454</v>
      </c>
      <c r="F138" s="270">
        <f t="shared" si="0"/>
        <v>1200</v>
      </c>
      <c r="G138" s="296">
        <f t="shared" si="1"/>
        <v>3.666666666666667E-3</v>
      </c>
    </row>
    <row r="139" spans="1:7" ht="25.5">
      <c r="A139" s="292" t="s">
        <v>667</v>
      </c>
      <c r="B139" s="294" t="s">
        <v>631</v>
      </c>
      <c r="C139" s="294" t="s">
        <v>672</v>
      </c>
      <c r="D139" s="367">
        <f>22.1+21.9</f>
        <v>44</v>
      </c>
      <c r="E139" s="314" t="s">
        <v>467</v>
      </c>
      <c r="F139" s="270">
        <f t="shared" si="0"/>
        <v>300</v>
      </c>
      <c r="G139" s="296">
        <f t="shared" si="1"/>
        <v>0.14666666666666667</v>
      </c>
    </row>
    <row r="140" spans="1:7" ht="12.75">
      <c r="A140" s="292" t="s">
        <v>667</v>
      </c>
      <c r="B140" s="294" t="s">
        <v>631</v>
      </c>
      <c r="C140" s="294" t="s">
        <v>488</v>
      </c>
      <c r="D140" s="79">
        <v>19.600000000000001</v>
      </c>
      <c r="E140" s="314" t="s">
        <v>489</v>
      </c>
      <c r="F140" s="270">
        <f t="shared" si="0"/>
        <v>2500</v>
      </c>
      <c r="G140" s="296">
        <f t="shared" si="1"/>
        <v>7.8399999999999997E-3</v>
      </c>
    </row>
    <row r="141" spans="1:7" ht="12.75">
      <c r="A141" s="292" t="s">
        <v>667</v>
      </c>
      <c r="B141" s="294" t="s">
        <v>631</v>
      </c>
      <c r="C141" s="294" t="s">
        <v>595</v>
      </c>
      <c r="D141" s="79">
        <v>13.4</v>
      </c>
      <c r="E141" s="314" t="s">
        <v>454</v>
      </c>
      <c r="F141" s="270">
        <f t="shared" si="0"/>
        <v>1200</v>
      </c>
      <c r="G141" s="296">
        <f t="shared" si="1"/>
        <v>1.1166666666666667E-2</v>
      </c>
    </row>
    <row r="142" spans="1:7" ht="25.5">
      <c r="A142" s="292" t="s">
        <v>667</v>
      </c>
      <c r="B142" s="294" t="s">
        <v>631</v>
      </c>
      <c r="C142" s="294" t="s">
        <v>673</v>
      </c>
      <c r="D142" s="79">
        <v>36.700000000000003</v>
      </c>
      <c r="E142" s="314" t="s">
        <v>454</v>
      </c>
      <c r="F142" s="270">
        <f t="shared" si="0"/>
        <v>1200</v>
      </c>
      <c r="G142" s="296">
        <f t="shared" si="1"/>
        <v>3.0583333333333337E-2</v>
      </c>
    </row>
    <row r="143" spans="1:7" ht="12.75">
      <c r="A143" s="292" t="s">
        <v>667</v>
      </c>
      <c r="B143" s="294" t="s">
        <v>631</v>
      </c>
      <c r="C143" s="294" t="s">
        <v>674</v>
      </c>
      <c r="D143" s="79">
        <v>18.399999999999999</v>
      </c>
      <c r="E143" s="314" t="s">
        <v>454</v>
      </c>
      <c r="F143" s="270">
        <f t="shared" si="0"/>
        <v>1200</v>
      </c>
      <c r="G143" s="296">
        <f t="shared" si="1"/>
        <v>1.5333333333333332E-2</v>
      </c>
    </row>
    <row r="144" spans="1:7" ht="25.5">
      <c r="A144" s="292" t="s">
        <v>667</v>
      </c>
      <c r="B144" s="294" t="s">
        <v>631</v>
      </c>
      <c r="C144" s="294" t="s">
        <v>675</v>
      </c>
      <c r="D144" s="79">
        <v>21.6</v>
      </c>
      <c r="E144" s="314" t="s">
        <v>454</v>
      </c>
      <c r="F144" s="270">
        <f t="shared" si="0"/>
        <v>1200</v>
      </c>
      <c r="G144" s="296">
        <f t="shared" si="1"/>
        <v>1.8000000000000002E-2</v>
      </c>
    </row>
    <row r="145" spans="1:7" ht="25.5">
      <c r="A145" s="292" t="s">
        <v>667</v>
      </c>
      <c r="B145" s="294" t="s">
        <v>631</v>
      </c>
      <c r="C145" s="294" t="s">
        <v>676</v>
      </c>
      <c r="D145" s="79">
        <v>54.4</v>
      </c>
      <c r="E145" s="314" t="s">
        <v>454</v>
      </c>
      <c r="F145" s="270">
        <f t="shared" si="0"/>
        <v>1200</v>
      </c>
      <c r="G145" s="296">
        <f t="shared" si="1"/>
        <v>4.533333333333333E-2</v>
      </c>
    </row>
    <row r="146" spans="1:7" ht="38.25">
      <c r="A146" s="292" t="s">
        <v>667</v>
      </c>
      <c r="B146" s="294" t="s">
        <v>631</v>
      </c>
      <c r="C146" s="294" t="s">
        <v>677</v>
      </c>
      <c r="D146" s="79">
        <v>54.6</v>
      </c>
      <c r="E146" s="314" t="s">
        <v>454</v>
      </c>
      <c r="F146" s="270">
        <f t="shared" si="0"/>
        <v>1200</v>
      </c>
      <c r="G146" s="296">
        <f t="shared" si="1"/>
        <v>4.5499999999999999E-2</v>
      </c>
    </row>
    <row r="147" spans="1:7" ht="12.75">
      <c r="A147" s="292" t="s">
        <v>667</v>
      </c>
      <c r="B147" s="294" t="s">
        <v>631</v>
      </c>
      <c r="C147" s="294" t="s">
        <v>678</v>
      </c>
      <c r="D147" s="367">
        <f>5.2+22.7+10.1+7.7+7.7</f>
        <v>53.400000000000006</v>
      </c>
      <c r="E147" s="314" t="s">
        <v>454</v>
      </c>
      <c r="F147" s="270">
        <f t="shared" si="0"/>
        <v>1200</v>
      </c>
      <c r="G147" s="296">
        <f t="shared" si="1"/>
        <v>4.4500000000000005E-2</v>
      </c>
    </row>
    <row r="148" spans="1:7" ht="12.75">
      <c r="A148" s="292" t="s">
        <v>667</v>
      </c>
      <c r="B148" s="294" t="s">
        <v>631</v>
      </c>
      <c r="C148" s="294" t="s">
        <v>679</v>
      </c>
      <c r="D148" s="367">
        <f>10.1+22.7+5.1+7.7+7.7</f>
        <v>53.300000000000004</v>
      </c>
      <c r="E148" s="314" t="s">
        <v>454</v>
      </c>
      <c r="F148" s="270">
        <f t="shared" si="0"/>
        <v>1200</v>
      </c>
      <c r="G148" s="296">
        <f t="shared" si="1"/>
        <v>4.4416666666666667E-2</v>
      </c>
    </row>
    <row r="149" spans="1:7" ht="12.75">
      <c r="A149" s="292" t="s">
        <v>667</v>
      </c>
      <c r="B149" s="294" t="s">
        <v>631</v>
      </c>
      <c r="C149" s="88" t="s">
        <v>680</v>
      </c>
      <c r="D149" s="79">
        <v>56.5</v>
      </c>
      <c r="E149" s="314" t="s">
        <v>454</v>
      </c>
      <c r="F149" s="270">
        <f t="shared" si="0"/>
        <v>1200</v>
      </c>
      <c r="G149" s="296">
        <f t="shared" si="1"/>
        <v>4.7083333333333331E-2</v>
      </c>
    </row>
    <row r="150" spans="1:7" ht="12.75">
      <c r="A150" s="292" t="s">
        <v>667</v>
      </c>
      <c r="B150" s="366" t="s">
        <v>578</v>
      </c>
      <c r="C150" s="294" t="s">
        <v>681</v>
      </c>
      <c r="D150" s="79">
        <v>51.88</v>
      </c>
      <c r="E150" s="314" t="s">
        <v>582</v>
      </c>
      <c r="F150" s="270">
        <f t="shared" si="0"/>
        <v>1200</v>
      </c>
      <c r="G150" s="296">
        <f t="shared" si="1"/>
        <v>4.3233333333333339E-2</v>
      </c>
    </row>
    <row r="151" spans="1:7" ht="12.75">
      <c r="A151" s="292" t="s">
        <v>667</v>
      </c>
      <c r="B151" s="366" t="s">
        <v>578</v>
      </c>
      <c r="C151" s="294" t="s">
        <v>682</v>
      </c>
      <c r="D151" s="79">
        <v>104.45</v>
      </c>
      <c r="E151" s="314" t="s">
        <v>582</v>
      </c>
      <c r="F151" s="270">
        <f t="shared" si="0"/>
        <v>1200</v>
      </c>
      <c r="G151" s="296">
        <f t="shared" si="1"/>
        <v>8.704166666666667E-2</v>
      </c>
    </row>
    <row r="152" spans="1:7" ht="12.75">
      <c r="A152" s="292" t="s">
        <v>667</v>
      </c>
      <c r="B152" s="366" t="s">
        <v>578</v>
      </c>
      <c r="C152" s="294">
        <v>103</v>
      </c>
      <c r="D152" s="79">
        <v>51.71</v>
      </c>
      <c r="E152" s="314" t="s">
        <v>582</v>
      </c>
      <c r="F152" s="270">
        <f t="shared" si="0"/>
        <v>1200</v>
      </c>
      <c r="G152" s="296">
        <f t="shared" si="1"/>
        <v>4.3091666666666667E-2</v>
      </c>
    </row>
    <row r="153" spans="1:7" ht="12.75">
      <c r="A153" s="292" t="s">
        <v>667</v>
      </c>
      <c r="B153" s="366" t="s">
        <v>578</v>
      </c>
      <c r="C153" s="294">
        <v>105</v>
      </c>
      <c r="D153" s="79">
        <v>51.61</v>
      </c>
      <c r="E153" s="314" t="s">
        <v>582</v>
      </c>
      <c r="F153" s="270">
        <f t="shared" si="0"/>
        <v>1200</v>
      </c>
      <c r="G153" s="296">
        <f t="shared" si="1"/>
        <v>4.3008333333333336E-2</v>
      </c>
    </row>
    <row r="154" spans="1:7" ht="12.75">
      <c r="A154" s="292" t="s">
        <v>667</v>
      </c>
      <c r="B154" s="366" t="s">
        <v>578</v>
      </c>
      <c r="C154" s="294">
        <v>106</v>
      </c>
      <c r="D154" s="79">
        <v>51.7</v>
      </c>
      <c r="E154" s="314" t="s">
        <v>582</v>
      </c>
      <c r="F154" s="270">
        <f t="shared" si="0"/>
        <v>1200</v>
      </c>
      <c r="G154" s="296">
        <f t="shared" si="1"/>
        <v>4.3083333333333335E-2</v>
      </c>
    </row>
    <row r="155" spans="1:7" ht="12.75">
      <c r="A155" s="292" t="s">
        <v>667</v>
      </c>
      <c r="B155" s="366" t="s">
        <v>578</v>
      </c>
      <c r="C155" s="294">
        <v>107</v>
      </c>
      <c r="D155" s="79">
        <v>52.15</v>
      </c>
      <c r="E155" s="314" t="s">
        <v>582</v>
      </c>
      <c r="F155" s="270">
        <f t="shared" si="0"/>
        <v>1200</v>
      </c>
      <c r="G155" s="296">
        <f t="shared" si="1"/>
        <v>4.3458333333333335E-2</v>
      </c>
    </row>
    <row r="156" spans="1:7" ht="12.75">
      <c r="A156" s="292" t="s">
        <v>667</v>
      </c>
      <c r="B156" s="366" t="s">
        <v>578</v>
      </c>
      <c r="C156" s="294">
        <v>108</v>
      </c>
      <c r="D156" s="79">
        <v>51.77</v>
      </c>
      <c r="E156" s="314" t="s">
        <v>582</v>
      </c>
      <c r="F156" s="270">
        <f t="shared" si="0"/>
        <v>1200</v>
      </c>
      <c r="G156" s="296">
        <f t="shared" si="1"/>
        <v>4.3141666666666668E-2</v>
      </c>
    </row>
    <row r="157" spans="1:7" ht="12.75">
      <c r="A157" s="292" t="s">
        <v>667</v>
      </c>
      <c r="B157" s="366" t="s">
        <v>578</v>
      </c>
      <c r="C157" s="294">
        <v>109</v>
      </c>
      <c r="D157" s="79">
        <v>51.69</v>
      </c>
      <c r="E157" s="314" t="s">
        <v>582</v>
      </c>
      <c r="F157" s="270">
        <f t="shared" si="0"/>
        <v>1200</v>
      </c>
      <c r="G157" s="296">
        <f t="shared" si="1"/>
        <v>4.3074999999999995E-2</v>
      </c>
    </row>
    <row r="158" spans="1:7" ht="12.75">
      <c r="A158" s="292" t="s">
        <v>667</v>
      </c>
      <c r="B158" s="366" t="s">
        <v>578</v>
      </c>
      <c r="C158" s="294">
        <v>110</v>
      </c>
      <c r="D158" s="79">
        <v>51.8</v>
      </c>
      <c r="E158" s="314" t="s">
        <v>582</v>
      </c>
      <c r="F158" s="270">
        <f t="shared" si="0"/>
        <v>1200</v>
      </c>
      <c r="G158" s="296">
        <f t="shared" si="1"/>
        <v>4.3166666666666666E-2</v>
      </c>
    </row>
    <row r="159" spans="1:7" ht="12.75">
      <c r="A159" s="292" t="s">
        <v>667</v>
      </c>
      <c r="B159" s="366" t="s">
        <v>578</v>
      </c>
      <c r="C159" s="294" t="s">
        <v>655</v>
      </c>
      <c r="D159" s="79">
        <v>150.69999999999999</v>
      </c>
      <c r="E159" s="314" t="s">
        <v>582</v>
      </c>
      <c r="F159" s="270">
        <f t="shared" si="0"/>
        <v>1200</v>
      </c>
      <c r="G159" s="296">
        <f t="shared" si="1"/>
        <v>0.12558333333333332</v>
      </c>
    </row>
    <row r="160" spans="1:7" ht="12.75">
      <c r="A160" s="292" t="s">
        <v>667</v>
      </c>
      <c r="B160" s="366" t="s">
        <v>578</v>
      </c>
      <c r="C160" s="294" t="s">
        <v>576</v>
      </c>
      <c r="D160" s="367">
        <f>22.1+21.9</f>
        <v>44</v>
      </c>
      <c r="E160" s="314" t="s">
        <v>467</v>
      </c>
      <c r="F160" s="270">
        <f t="shared" si="0"/>
        <v>300</v>
      </c>
      <c r="G160" s="296">
        <f t="shared" si="1"/>
        <v>0.14666666666666667</v>
      </c>
    </row>
    <row r="161" spans="1:7" ht="12.75">
      <c r="A161" s="292" t="s">
        <v>667</v>
      </c>
      <c r="B161" s="366" t="s">
        <v>578</v>
      </c>
      <c r="C161" s="294" t="s">
        <v>517</v>
      </c>
      <c r="D161" s="367">
        <f>12.8+2.6</f>
        <v>15.4</v>
      </c>
      <c r="E161" s="314" t="s">
        <v>489</v>
      </c>
      <c r="F161" s="270">
        <f t="shared" si="0"/>
        <v>2500</v>
      </c>
      <c r="G161" s="296">
        <f t="shared" si="1"/>
        <v>6.1600000000000005E-3</v>
      </c>
    </row>
    <row r="162" spans="1:7" ht="12.75">
      <c r="A162" s="292" t="s">
        <v>667</v>
      </c>
      <c r="B162" s="366" t="s">
        <v>578</v>
      </c>
      <c r="C162" s="294" t="s">
        <v>683</v>
      </c>
      <c r="D162" s="79">
        <v>17.8</v>
      </c>
      <c r="E162" s="314" t="s">
        <v>489</v>
      </c>
      <c r="F162" s="270">
        <f t="shared" si="0"/>
        <v>2500</v>
      </c>
      <c r="G162" s="296">
        <f t="shared" si="1"/>
        <v>7.1200000000000005E-3</v>
      </c>
    </row>
    <row r="163" spans="1:7" ht="12.75">
      <c r="A163" s="292" t="s">
        <v>667</v>
      </c>
      <c r="B163" s="366" t="s">
        <v>607</v>
      </c>
      <c r="C163" s="294" t="s">
        <v>684</v>
      </c>
      <c r="D163" s="79">
        <v>51.9</v>
      </c>
      <c r="E163" s="314" t="s">
        <v>582</v>
      </c>
      <c r="F163" s="270">
        <f t="shared" si="0"/>
        <v>1200</v>
      </c>
      <c r="G163" s="296">
        <f t="shared" si="1"/>
        <v>4.3249999999999997E-2</v>
      </c>
    </row>
    <row r="164" spans="1:7" ht="12.75">
      <c r="A164" s="292" t="s">
        <v>667</v>
      </c>
      <c r="B164" s="366" t="s">
        <v>607</v>
      </c>
      <c r="C164" s="294" t="s">
        <v>685</v>
      </c>
      <c r="D164" s="79">
        <v>52.04</v>
      </c>
      <c r="E164" s="314" t="s">
        <v>582</v>
      </c>
      <c r="F164" s="270">
        <f t="shared" si="0"/>
        <v>1200</v>
      </c>
      <c r="G164" s="296">
        <f t="shared" si="1"/>
        <v>4.3366666666666664E-2</v>
      </c>
    </row>
    <row r="165" spans="1:7" ht="12.75">
      <c r="A165" s="292" t="s">
        <v>667</v>
      </c>
      <c r="B165" s="366" t="s">
        <v>607</v>
      </c>
      <c r="C165" s="294" t="s">
        <v>686</v>
      </c>
      <c r="D165" s="79">
        <v>51.29</v>
      </c>
      <c r="E165" s="314" t="s">
        <v>582</v>
      </c>
      <c r="F165" s="270">
        <f t="shared" si="0"/>
        <v>1200</v>
      </c>
      <c r="G165" s="296">
        <f t="shared" si="1"/>
        <v>4.2741666666666664E-2</v>
      </c>
    </row>
    <row r="166" spans="1:7" ht="12.75">
      <c r="A166" s="292" t="s">
        <v>667</v>
      </c>
      <c r="B166" s="366" t="s">
        <v>607</v>
      </c>
      <c r="C166" s="294" t="s">
        <v>687</v>
      </c>
      <c r="D166" s="79">
        <v>104.13</v>
      </c>
      <c r="E166" s="314" t="s">
        <v>582</v>
      </c>
      <c r="F166" s="270">
        <f t="shared" si="0"/>
        <v>1200</v>
      </c>
      <c r="G166" s="296">
        <f t="shared" si="1"/>
        <v>8.6774999999999991E-2</v>
      </c>
    </row>
    <row r="167" spans="1:7" ht="12.75">
      <c r="A167" s="292" t="s">
        <v>667</v>
      </c>
      <c r="B167" s="366" t="s">
        <v>607</v>
      </c>
      <c r="C167" s="294" t="s">
        <v>688</v>
      </c>
      <c r="D167" s="79">
        <v>51.53</v>
      </c>
      <c r="E167" s="314" t="s">
        <v>582</v>
      </c>
      <c r="F167" s="270">
        <f t="shared" si="0"/>
        <v>1200</v>
      </c>
      <c r="G167" s="296">
        <f t="shared" si="1"/>
        <v>4.294166666666667E-2</v>
      </c>
    </row>
    <row r="168" spans="1:7" ht="12.75">
      <c r="A168" s="292" t="s">
        <v>667</v>
      </c>
      <c r="B168" s="366" t="s">
        <v>607</v>
      </c>
      <c r="C168" s="294" t="s">
        <v>689</v>
      </c>
      <c r="D168" s="79">
        <v>51.01</v>
      </c>
      <c r="E168" s="314" t="s">
        <v>582</v>
      </c>
      <c r="F168" s="270">
        <f t="shared" si="0"/>
        <v>1200</v>
      </c>
      <c r="G168" s="296">
        <f t="shared" si="1"/>
        <v>4.2508333333333329E-2</v>
      </c>
    </row>
    <row r="169" spans="1:7" ht="12.75">
      <c r="A169" s="292" t="s">
        <v>667</v>
      </c>
      <c r="B169" s="366" t="s">
        <v>607</v>
      </c>
      <c r="C169" s="294" t="s">
        <v>690</v>
      </c>
      <c r="D169" s="79">
        <v>51.07</v>
      </c>
      <c r="E169" s="314" t="s">
        <v>582</v>
      </c>
      <c r="F169" s="270">
        <f t="shared" si="0"/>
        <v>1200</v>
      </c>
      <c r="G169" s="296">
        <f t="shared" si="1"/>
        <v>4.2558333333333337E-2</v>
      </c>
    </row>
    <row r="170" spans="1:7" ht="12.75">
      <c r="A170" s="292" t="s">
        <v>667</v>
      </c>
      <c r="B170" s="366" t="s">
        <v>607</v>
      </c>
      <c r="C170" s="294" t="s">
        <v>691</v>
      </c>
      <c r="D170" s="79">
        <v>51.36</v>
      </c>
      <c r="E170" s="314" t="s">
        <v>582</v>
      </c>
      <c r="F170" s="270">
        <f t="shared" si="0"/>
        <v>1200</v>
      </c>
      <c r="G170" s="296">
        <f t="shared" si="1"/>
        <v>4.2799999999999998E-2</v>
      </c>
    </row>
    <row r="171" spans="1:7" ht="12.75">
      <c r="A171" s="292" t="s">
        <v>667</v>
      </c>
      <c r="B171" s="366" t="s">
        <v>607</v>
      </c>
      <c r="C171" s="294" t="s">
        <v>692</v>
      </c>
      <c r="D171" s="79">
        <v>51.49</v>
      </c>
      <c r="E171" s="314" t="s">
        <v>582</v>
      </c>
      <c r="F171" s="270">
        <f t="shared" si="0"/>
        <v>1200</v>
      </c>
      <c r="G171" s="296">
        <f t="shared" si="1"/>
        <v>4.2908333333333333E-2</v>
      </c>
    </row>
    <row r="172" spans="1:7" ht="12.75">
      <c r="A172" s="292" t="s">
        <v>667</v>
      </c>
      <c r="B172" s="366" t="s">
        <v>607</v>
      </c>
      <c r="C172" s="294" t="s">
        <v>693</v>
      </c>
      <c r="D172" s="79">
        <v>150.69999999999999</v>
      </c>
      <c r="E172" s="314" t="s">
        <v>454</v>
      </c>
      <c r="F172" s="270">
        <f t="shared" si="0"/>
        <v>1200</v>
      </c>
      <c r="G172" s="296">
        <f t="shared" si="1"/>
        <v>0.12558333333333332</v>
      </c>
    </row>
    <row r="173" spans="1:7" ht="12.75">
      <c r="A173" s="292" t="s">
        <v>667</v>
      </c>
      <c r="B173" s="366" t="s">
        <v>607</v>
      </c>
      <c r="C173" s="294" t="s">
        <v>683</v>
      </c>
      <c r="D173" s="79">
        <v>17.8</v>
      </c>
      <c r="E173" s="314" t="s">
        <v>454</v>
      </c>
      <c r="F173" s="270">
        <f t="shared" si="0"/>
        <v>1200</v>
      </c>
      <c r="G173" s="296">
        <f t="shared" si="1"/>
        <v>1.4833333333333334E-2</v>
      </c>
    </row>
    <row r="174" spans="1:7" ht="12.75">
      <c r="A174" s="292" t="s">
        <v>667</v>
      </c>
      <c r="B174" s="366" t="s">
        <v>607</v>
      </c>
      <c r="C174" s="294" t="s">
        <v>517</v>
      </c>
      <c r="D174" s="367">
        <f>2.6+12.8</f>
        <v>15.4</v>
      </c>
      <c r="E174" s="314" t="s">
        <v>489</v>
      </c>
      <c r="F174" s="270">
        <f t="shared" si="0"/>
        <v>2500</v>
      </c>
      <c r="G174" s="296">
        <f t="shared" si="1"/>
        <v>6.1600000000000005E-3</v>
      </c>
    </row>
    <row r="175" spans="1:7" ht="12.75">
      <c r="A175" s="292" t="s">
        <v>667</v>
      </c>
      <c r="B175" s="366" t="s">
        <v>607</v>
      </c>
      <c r="C175" s="294" t="s">
        <v>576</v>
      </c>
      <c r="D175" s="367">
        <f>22.1+21.9</f>
        <v>44</v>
      </c>
      <c r="E175" s="314" t="s">
        <v>467</v>
      </c>
      <c r="F175" s="270">
        <f t="shared" si="0"/>
        <v>300</v>
      </c>
      <c r="G175" s="296">
        <f t="shared" si="1"/>
        <v>0.14666666666666667</v>
      </c>
    </row>
    <row r="176" spans="1:7" ht="12.75">
      <c r="A176" s="292" t="s">
        <v>667</v>
      </c>
      <c r="B176" s="366" t="s">
        <v>607</v>
      </c>
      <c r="C176" s="294" t="s">
        <v>694</v>
      </c>
      <c r="D176" s="79">
        <v>128.51</v>
      </c>
      <c r="E176" s="314" t="s">
        <v>582</v>
      </c>
      <c r="F176" s="270">
        <f t="shared" si="0"/>
        <v>1200</v>
      </c>
      <c r="G176" s="296">
        <f t="shared" si="1"/>
        <v>0.10709166666666665</v>
      </c>
    </row>
    <row r="177" spans="1:7" ht="25.5">
      <c r="A177" s="292" t="s">
        <v>695</v>
      </c>
      <c r="B177" s="294" t="s">
        <v>631</v>
      </c>
      <c r="C177" s="294" t="s">
        <v>696</v>
      </c>
      <c r="D177" s="79">
        <v>292.60000000000002</v>
      </c>
      <c r="E177" s="314" t="s">
        <v>573</v>
      </c>
      <c r="F177" s="270">
        <f t="shared" si="0"/>
        <v>1500</v>
      </c>
      <c r="G177" s="296">
        <f t="shared" si="1"/>
        <v>0.19506666666666669</v>
      </c>
    </row>
    <row r="178" spans="1:7" ht="12.75">
      <c r="A178" s="292" t="s">
        <v>695</v>
      </c>
      <c r="B178" s="294" t="s">
        <v>631</v>
      </c>
      <c r="C178" s="294" t="s">
        <v>576</v>
      </c>
      <c r="D178" s="367">
        <f>21.9+22.1</f>
        <v>44</v>
      </c>
      <c r="E178" s="314" t="s">
        <v>467</v>
      </c>
      <c r="F178" s="270">
        <f t="shared" si="0"/>
        <v>300</v>
      </c>
      <c r="G178" s="296">
        <f t="shared" si="1"/>
        <v>0.14666666666666667</v>
      </c>
    </row>
    <row r="179" spans="1:7" ht="12.75">
      <c r="A179" s="292" t="s">
        <v>695</v>
      </c>
      <c r="B179" s="294" t="s">
        <v>631</v>
      </c>
      <c r="C179" s="294" t="s">
        <v>697</v>
      </c>
      <c r="D179" s="79">
        <v>24</v>
      </c>
      <c r="E179" s="314" t="s">
        <v>454</v>
      </c>
      <c r="F179" s="270">
        <f t="shared" si="0"/>
        <v>1200</v>
      </c>
      <c r="G179" s="296">
        <f t="shared" si="1"/>
        <v>0.02</v>
      </c>
    </row>
    <row r="180" spans="1:7" ht="12.75">
      <c r="A180" s="292" t="s">
        <v>695</v>
      </c>
      <c r="B180" s="294" t="s">
        <v>631</v>
      </c>
      <c r="C180" s="294" t="s">
        <v>698</v>
      </c>
      <c r="D180" s="79">
        <v>12</v>
      </c>
      <c r="E180" s="314" t="s">
        <v>454</v>
      </c>
      <c r="F180" s="270">
        <f t="shared" si="0"/>
        <v>1200</v>
      </c>
      <c r="G180" s="296">
        <f t="shared" si="1"/>
        <v>0.01</v>
      </c>
    </row>
    <row r="181" spans="1:7" ht="12.75">
      <c r="A181" s="292" t="s">
        <v>695</v>
      </c>
      <c r="B181" s="294" t="s">
        <v>631</v>
      </c>
      <c r="C181" s="294" t="s">
        <v>699</v>
      </c>
      <c r="D181" s="79">
        <v>28.7</v>
      </c>
      <c r="E181" s="314" t="s">
        <v>582</v>
      </c>
      <c r="F181" s="270">
        <f t="shared" si="0"/>
        <v>1200</v>
      </c>
      <c r="G181" s="296">
        <f t="shared" si="1"/>
        <v>2.3916666666666666E-2</v>
      </c>
    </row>
    <row r="182" spans="1:7" ht="25.5">
      <c r="A182" s="292" t="s">
        <v>695</v>
      </c>
      <c r="B182" s="294" t="s">
        <v>631</v>
      </c>
      <c r="C182" s="294" t="s">
        <v>700</v>
      </c>
      <c r="D182" s="79">
        <v>58.8</v>
      </c>
      <c r="E182" s="314" t="s">
        <v>582</v>
      </c>
      <c r="F182" s="270">
        <f t="shared" si="0"/>
        <v>1200</v>
      </c>
      <c r="G182" s="296">
        <f t="shared" si="1"/>
        <v>4.8999999999999995E-2</v>
      </c>
    </row>
    <row r="183" spans="1:7" ht="12.75">
      <c r="A183" s="292" t="s">
        <v>695</v>
      </c>
      <c r="B183" s="294" t="s">
        <v>631</v>
      </c>
      <c r="C183" s="294" t="s">
        <v>683</v>
      </c>
      <c r="D183" s="79">
        <v>28.9</v>
      </c>
      <c r="E183" s="314" t="s">
        <v>489</v>
      </c>
      <c r="F183" s="270">
        <f t="shared" si="0"/>
        <v>2500</v>
      </c>
      <c r="G183" s="296">
        <f t="shared" si="1"/>
        <v>1.1559999999999999E-2</v>
      </c>
    </row>
    <row r="184" spans="1:7" ht="12.75">
      <c r="A184" s="292" t="s">
        <v>695</v>
      </c>
      <c r="B184" s="294" t="s">
        <v>631</v>
      </c>
      <c r="C184" s="294" t="s">
        <v>701</v>
      </c>
      <c r="D184" s="79">
        <v>74.2</v>
      </c>
      <c r="E184" s="314" t="s">
        <v>582</v>
      </c>
      <c r="F184" s="270">
        <f t="shared" si="0"/>
        <v>1200</v>
      </c>
      <c r="G184" s="296">
        <f t="shared" si="1"/>
        <v>6.1833333333333337E-2</v>
      </c>
    </row>
    <row r="185" spans="1:7" ht="12.75">
      <c r="A185" s="292" t="s">
        <v>695</v>
      </c>
      <c r="B185" s="294" t="s">
        <v>631</v>
      </c>
      <c r="C185" s="294" t="s">
        <v>702</v>
      </c>
      <c r="D185" s="79">
        <v>8.6</v>
      </c>
      <c r="E185" s="314" t="s">
        <v>454</v>
      </c>
      <c r="F185" s="270">
        <f t="shared" si="0"/>
        <v>1200</v>
      </c>
      <c r="G185" s="296">
        <f t="shared" si="1"/>
        <v>7.1666666666666667E-3</v>
      </c>
    </row>
    <row r="186" spans="1:7" ht="12.75">
      <c r="A186" s="292" t="s">
        <v>695</v>
      </c>
      <c r="B186" s="294" t="s">
        <v>631</v>
      </c>
      <c r="C186" s="294" t="s">
        <v>703</v>
      </c>
      <c r="D186" s="367">
        <f>6.3+6.9</f>
        <v>13.2</v>
      </c>
      <c r="E186" s="314" t="s">
        <v>582</v>
      </c>
      <c r="F186" s="270">
        <f t="shared" si="0"/>
        <v>1200</v>
      </c>
      <c r="G186" s="296">
        <f t="shared" si="1"/>
        <v>1.0999999999999999E-2</v>
      </c>
    </row>
    <row r="187" spans="1:7" ht="12.75">
      <c r="A187" s="292" t="s">
        <v>695</v>
      </c>
      <c r="B187" s="294" t="s">
        <v>631</v>
      </c>
      <c r="C187" s="294" t="s">
        <v>704</v>
      </c>
      <c r="D187" s="79">
        <v>222.7</v>
      </c>
      <c r="E187" s="314" t="s">
        <v>582</v>
      </c>
      <c r="F187" s="270">
        <f t="shared" si="0"/>
        <v>1200</v>
      </c>
      <c r="G187" s="296">
        <f t="shared" si="1"/>
        <v>0.18558333333333332</v>
      </c>
    </row>
    <row r="188" spans="1:7" ht="12.75">
      <c r="A188" s="292" t="s">
        <v>695</v>
      </c>
      <c r="B188" s="294" t="s">
        <v>631</v>
      </c>
      <c r="C188" s="294" t="s">
        <v>705</v>
      </c>
      <c r="D188" s="79">
        <v>48.7</v>
      </c>
      <c r="E188" s="314" t="s">
        <v>454</v>
      </c>
      <c r="F188" s="270">
        <f t="shared" si="0"/>
        <v>1200</v>
      </c>
      <c r="G188" s="296">
        <f t="shared" si="1"/>
        <v>4.0583333333333332E-2</v>
      </c>
    </row>
    <row r="189" spans="1:7" ht="12.75">
      <c r="A189" s="292" t="s">
        <v>695</v>
      </c>
      <c r="B189" s="294" t="s">
        <v>631</v>
      </c>
      <c r="C189" s="294" t="s">
        <v>576</v>
      </c>
      <c r="D189" s="79">
        <v>2.9</v>
      </c>
      <c r="E189" s="314" t="s">
        <v>467</v>
      </c>
      <c r="F189" s="270">
        <f t="shared" si="0"/>
        <v>300</v>
      </c>
      <c r="G189" s="296">
        <f t="shared" si="1"/>
        <v>9.6666666666666672E-3</v>
      </c>
    </row>
    <row r="190" spans="1:7" ht="12.75">
      <c r="A190" s="292" t="s">
        <v>695</v>
      </c>
      <c r="B190" s="294" t="s">
        <v>631</v>
      </c>
      <c r="C190" s="294" t="s">
        <v>706</v>
      </c>
      <c r="D190" s="79">
        <v>8.9</v>
      </c>
      <c r="E190" s="314" t="s">
        <v>454</v>
      </c>
      <c r="F190" s="270">
        <f t="shared" si="0"/>
        <v>1200</v>
      </c>
      <c r="G190" s="296">
        <f t="shared" si="1"/>
        <v>7.4166666666666669E-3</v>
      </c>
    </row>
    <row r="191" spans="1:7" ht="12.75">
      <c r="A191" s="292" t="s">
        <v>695</v>
      </c>
      <c r="B191" s="294" t="s">
        <v>631</v>
      </c>
      <c r="C191" s="294" t="s">
        <v>707</v>
      </c>
      <c r="D191" s="79">
        <v>8.9</v>
      </c>
      <c r="E191" s="314" t="s">
        <v>454</v>
      </c>
      <c r="F191" s="270">
        <f t="shared" si="0"/>
        <v>1200</v>
      </c>
      <c r="G191" s="296">
        <f t="shared" si="1"/>
        <v>7.4166666666666669E-3</v>
      </c>
    </row>
    <row r="192" spans="1:7" ht="25.5">
      <c r="A192" s="292" t="s">
        <v>695</v>
      </c>
      <c r="B192" s="294" t="s">
        <v>631</v>
      </c>
      <c r="C192" s="294" t="s">
        <v>708</v>
      </c>
      <c r="D192" s="79">
        <v>5.8</v>
      </c>
      <c r="E192" s="314" t="s">
        <v>467</v>
      </c>
      <c r="F192" s="270">
        <f t="shared" si="0"/>
        <v>300</v>
      </c>
      <c r="G192" s="296">
        <f t="shared" si="1"/>
        <v>1.9333333333333334E-2</v>
      </c>
    </row>
    <row r="193" spans="1:7" ht="12.75">
      <c r="A193" s="292" t="s">
        <v>695</v>
      </c>
      <c r="B193" s="294" t="s">
        <v>578</v>
      </c>
      <c r="C193" s="294" t="s">
        <v>576</v>
      </c>
      <c r="D193" s="367">
        <f>21.9+22.1</f>
        <v>44</v>
      </c>
      <c r="E193" s="314" t="s">
        <v>467</v>
      </c>
      <c r="F193" s="270">
        <f t="shared" si="0"/>
        <v>300</v>
      </c>
      <c r="G193" s="296">
        <f t="shared" si="1"/>
        <v>0.14666666666666667</v>
      </c>
    </row>
    <row r="194" spans="1:7" ht="12.75">
      <c r="A194" s="292" t="s">
        <v>695</v>
      </c>
      <c r="B194" s="294" t="s">
        <v>578</v>
      </c>
      <c r="C194" s="294" t="s">
        <v>709</v>
      </c>
      <c r="D194" s="79">
        <v>106.54</v>
      </c>
      <c r="E194" s="314" t="s">
        <v>454</v>
      </c>
      <c r="F194" s="270">
        <f t="shared" si="0"/>
        <v>1200</v>
      </c>
      <c r="G194" s="296">
        <f t="shared" si="1"/>
        <v>8.8783333333333339E-2</v>
      </c>
    </row>
    <row r="195" spans="1:7" ht="12.75">
      <c r="A195" s="292" t="s">
        <v>695</v>
      </c>
      <c r="B195" s="294" t="s">
        <v>578</v>
      </c>
      <c r="C195" s="294" t="s">
        <v>710</v>
      </c>
      <c r="D195" s="79">
        <v>105.72</v>
      </c>
      <c r="E195" s="314" t="s">
        <v>454</v>
      </c>
      <c r="F195" s="270">
        <f t="shared" si="0"/>
        <v>1200</v>
      </c>
      <c r="G195" s="296">
        <f t="shared" si="1"/>
        <v>8.8099999999999998E-2</v>
      </c>
    </row>
    <row r="196" spans="1:7" ht="12.75">
      <c r="A196" s="292" t="s">
        <v>695</v>
      </c>
      <c r="B196" s="294" t="s">
        <v>578</v>
      </c>
      <c r="C196" s="294" t="s">
        <v>711</v>
      </c>
      <c r="D196" s="79">
        <v>52.85</v>
      </c>
      <c r="E196" s="314" t="s">
        <v>454</v>
      </c>
      <c r="F196" s="270">
        <f t="shared" si="0"/>
        <v>1200</v>
      </c>
      <c r="G196" s="296">
        <f t="shared" si="1"/>
        <v>4.4041666666666666E-2</v>
      </c>
    </row>
    <row r="197" spans="1:7" ht="12.75">
      <c r="A197" s="292" t="s">
        <v>695</v>
      </c>
      <c r="B197" s="294" t="s">
        <v>578</v>
      </c>
      <c r="C197" s="294" t="s">
        <v>712</v>
      </c>
      <c r="D197" s="79">
        <v>52.61</v>
      </c>
      <c r="E197" s="314" t="s">
        <v>454</v>
      </c>
      <c r="F197" s="270">
        <f t="shared" si="0"/>
        <v>1200</v>
      </c>
      <c r="G197" s="296">
        <f t="shared" si="1"/>
        <v>4.3841666666666668E-2</v>
      </c>
    </row>
    <row r="198" spans="1:7" ht="12.75">
      <c r="A198" s="292" t="s">
        <v>695</v>
      </c>
      <c r="B198" s="294" t="s">
        <v>578</v>
      </c>
      <c r="C198" s="294" t="s">
        <v>713</v>
      </c>
      <c r="D198" s="79">
        <v>89.11</v>
      </c>
      <c r="E198" s="314" t="s">
        <v>454</v>
      </c>
      <c r="F198" s="270">
        <f t="shared" si="0"/>
        <v>1200</v>
      </c>
      <c r="G198" s="296">
        <f t="shared" si="1"/>
        <v>7.4258333333333329E-2</v>
      </c>
    </row>
    <row r="199" spans="1:7" ht="12.75">
      <c r="A199" s="292" t="s">
        <v>695</v>
      </c>
      <c r="B199" s="294" t="s">
        <v>578</v>
      </c>
      <c r="C199" s="294" t="s">
        <v>714</v>
      </c>
      <c r="D199" s="79">
        <v>90.17</v>
      </c>
      <c r="E199" s="314" t="s">
        <v>454</v>
      </c>
      <c r="F199" s="270">
        <f t="shared" si="0"/>
        <v>1200</v>
      </c>
      <c r="G199" s="296">
        <f t="shared" si="1"/>
        <v>7.5141666666666662E-2</v>
      </c>
    </row>
    <row r="200" spans="1:7" ht="12.75">
      <c r="A200" s="292" t="s">
        <v>695</v>
      </c>
      <c r="B200" s="294" t="s">
        <v>578</v>
      </c>
      <c r="C200" s="294" t="s">
        <v>715</v>
      </c>
      <c r="D200" s="79">
        <v>84.7</v>
      </c>
      <c r="E200" s="314" t="s">
        <v>454</v>
      </c>
      <c r="F200" s="270">
        <f t="shared" si="0"/>
        <v>1200</v>
      </c>
      <c r="G200" s="296">
        <f t="shared" si="1"/>
        <v>7.0583333333333331E-2</v>
      </c>
    </row>
    <row r="201" spans="1:7" ht="12.75">
      <c r="A201" s="292" t="s">
        <v>695</v>
      </c>
      <c r="B201" s="294" t="s">
        <v>578</v>
      </c>
      <c r="C201" s="294" t="s">
        <v>716</v>
      </c>
      <c r="D201" s="79">
        <v>84.7</v>
      </c>
      <c r="E201" s="314" t="s">
        <v>454</v>
      </c>
      <c r="F201" s="270">
        <f t="shared" si="0"/>
        <v>1200</v>
      </c>
      <c r="G201" s="296">
        <f t="shared" si="1"/>
        <v>7.0583333333333331E-2</v>
      </c>
    </row>
    <row r="202" spans="1:7" ht="12.75">
      <c r="A202" s="292" t="s">
        <v>695</v>
      </c>
      <c r="B202" s="294" t="s">
        <v>578</v>
      </c>
      <c r="C202" s="294" t="s">
        <v>517</v>
      </c>
      <c r="D202" s="367">
        <f>2.6+12.8</f>
        <v>15.4</v>
      </c>
      <c r="E202" s="314" t="s">
        <v>489</v>
      </c>
      <c r="F202" s="270">
        <f t="shared" si="0"/>
        <v>2500</v>
      </c>
      <c r="G202" s="296">
        <f t="shared" si="1"/>
        <v>6.1600000000000005E-3</v>
      </c>
    </row>
    <row r="203" spans="1:7" ht="12.75">
      <c r="A203" s="292" t="s">
        <v>695</v>
      </c>
      <c r="B203" s="294" t="s">
        <v>578</v>
      </c>
      <c r="C203" s="294" t="s">
        <v>683</v>
      </c>
      <c r="D203" s="79">
        <v>17.8</v>
      </c>
      <c r="E203" s="314" t="s">
        <v>489</v>
      </c>
      <c r="F203" s="270">
        <f t="shared" si="0"/>
        <v>2500</v>
      </c>
      <c r="G203" s="296">
        <f t="shared" si="1"/>
        <v>7.1200000000000005E-3</v>
      </c>
    </row>
    <row r="204" spans="1:7" ht="12.75">
      <c r="A204" s="292" t="s">
        <v>695</v>
      </c>
      <c r="B204" s="294" t="s">
        <v>607</v>
      </c>
      <c r="C204" s="294" t="s">
        <v>517</v>
      </c>
      <c r="D204" s="367">
        <f>2.6+12.8</f>
        <v>15.4</v>
      </c>
      <c r="E204" s="314" t="s">
        <v>489</v>
      </c>
      <c r="F204" s="270">
        <f t="shared" si="0"/>
        <v>2500</v>
      </c>
      <c r="G204" s="296">
        <f t="shared" si="1"/>
        <v>6.1600000000000005E-3</v>
      </c>
    </row>
    <row r="205" spans="1:7" ht="12.75">
      <c r="A205" s="292" t="s">
        <v>695</v>
      </c>
      <c r="B205" s="294" t="s">
        <v>607</v>
      </c>
      <c r="C205" s="294" t="s">
        <v>683</v>
      </c>
      <c r="D205" s="79">
        <v>17.8</v>
      </c>
      <c r="E205" s="314" t="s">
        <v>489</v>
      </c>
      <c r="F205" s="270">
        <f t="shared" si="0"/>
        <v>2500</v>
      </c>
      <c r="G205" s="296">
        <f t="shared" si="1"/>
        <v>7.1200000000000005E-3</v>
      </c>
    </row>
    <row r="206" spans="1:7" ht="12.75">
      <c r="A206" s="292" t="s">
        <v>695</v>
      </c>
      <c r="B206" s="294" t="s">
        <v>607</v>
      </c>
      <c r="C206" s="294" t="s">
        <v>717</v>
      </c>
      <c r="D206" s="79">
        <v>12.8</v>
      </c>
      <c r="E206" s="314" t="s">
        <v>454</v>
      </c>
      <c r="F206" s="270">
        <f t="shared" si="0"/>
        <v>1200</v>
      </c>
      <c r="G206" s="296">
        <f t="shared" si="1"/>
        <v>1.0666666666666668E-2</v>
      </c>
    </row>
    <row r="207" spans="1:7" ht="12.75">
      <c r="A207" s="292" t="s">
        <v>695</v>
      </c>
      <c r="B207" s="294" t="s">
        <v>607</v>
      </c>
      <c r="C207" s="294" t="s">
        <v>718</v>
      </c>
      <c r="D207" s="79">
        <v>106.16</v>
      </c>
      <c r="E207" s="314" t="s">
        <v>454</v>
      </c>
      <c r="F207" s="270">
        <f t="shared" si="0"/>
        <v>1200</v>
      </c>
      <c r="G207" s="296">
        <f t="shared" si="1"/>
        <v>8.8466666666666666E-2</v>
      </c>
    </row>
    <row r="208" spans="1:7" ht="12.75">
      <c r="A208" s="292" t="s">
        <v>695</v>
      </c>
      <c r="B208" s="294" t="s">
        <v>607</v>
      </c>
      <c r="C208" s="294" t="s">
        <v>719</v>
      </c>
      <c r="D208" s="79">
        <v>105.9</v>
      </c>
      <c r="E208" s="314" t="s">
        <v>454</v>
      </c>
      <c r="F208" s="270">
        <f t="shared" si="0"/>
        <v>1200</v>
      </c>
      <c r="G208" s="296">
        <f t="shared" si="1"/>
        <v>8.8250000000000009E-2</v>
      </c>
    </row>
    <row r="209" spans="1:7" ht="12.75">
      <c r="A209" s="292" t="s">
        <v>695</v>
      </c>
      <c r="B209" s="294" t="s">
        <v>607</v>
      </c>
      <c r="C209" s="294" t="s">
        <v>720</v>
      </c>
      <c r="D209" s="79">
        <v>52.22</v>
      </c>
      <c r="E209" s="314" t="s">
        <v>454</v>
      </c>
      <c r="F209" s="270">
        <f t="shared" si="0"/>
        <v>1200</v>
      </c>
      <c r="G209" s="296">
        <f t="shared" si="1"/>
        <v>4.3516666666666669E-2</v>
      </c>
    </row>
    <row r="210" spans="1:7" ht="12.75">
      <c r="A210" s="292" t="s">
        <v>695</v>
      </c>
      <c r="B210" s="294" t="s">
        <v>607</v>
      </c>
      <c r="C210" s="294" t="s">
        <v>721</v>
      </c>
      <c r="D210" s="79">
        <v>52.36</v>
      </c>
      <c r="E210" s="314" t="s">
        <v>454</v>
      </c>
      <c r="F210" s="270">
        <f t="shared" si="0"/>
        <v>1200</v>
      </c>
      <c r="G210" s="296">
        <f t="shared" si="1"/>
        <v>4.363333333333333E-2</v>
      </c>
    </row>
    <row r="211" spans="1:7" ht="25.5">
      <c r="A211" s="292" t="s">
        <v>722</v>
      </c>
      <c r="B211" s="294" t="s">
        <v>631</v>
      </c>
      <c r="C211" s="294" t="s">
        <v>723</v>
      </c>
      <c r="D211" s="79">
        <v>331.2</v>
      </c>
      <c r="E211" s="314" t="s">
        <v>573</v>
      </c>
      <c r="F211" s="270">
        <f t="shared" si="0"/>
        <v>1500</v>
      </c>
      <c r="G211" s="296">
        <f t="shared" si="1"/>
        <v>0.2208</v>
      </c>
    </row>
    <row r="212" spans="1:7" ht="12.75">
      <c r="A212" s="292" t="s">
        <v>722</v>
      </c>
      <c r="B212" s="294" t="s">
        <v>631</v>
      </c>
      <c r="C212" s="294" t="s">
        <v>576</v>
      </c>
      <c r="D212" s="367">
        <f>21.9+22.1</f>
        <v>44</v>
      </c>
      <c r="E212" s="314" t="s">
        <v>467</v>
      </c>
      <c r="F212" s="270">
        <f t="shared" si="0"/>
        <v>300</v>
      </c>
      <c r="G212" s="296">
        <f t="shared" si="1"/>
        <v>0.14666666666666667</v>
      </c>
    </row>
    <row r="213" spans="1:7" ht="25.5">
      <c r="A213" s="292" t="s">
        <v>722</v>
      </c>
      <c r="B213" s="294" t="s">
        <v>631</v>
      </c>
      <c r="C213" s="294" t="s">
        <v>724</v>
      </c>
      <c r="D213" s="79">
        <v>56.6</v>
      </c>
      <c r="E213" s="314" t="s">
        <v>454</v>
      </c>
      <c r="F213" s="270">
        <f t="shared" si="0"/>
        <v>1200</v>
      </c>
      <c r="G213" s="296">
        <f t="shared" si="1"/>
        <v>4.7166666666666669E-2</v>
      </c>
    </row>
    <row r="214" spans="1:7" ht="12.75">
      <c r="A214" s="292" t="s">
        <v>722</v>
      </c>
      <c r="B214" s="294" t="s">
        <v>631</v>
      </c>
      <c r="C214" s="294" t="s">
        <v>725</v>
      </c>
      <c r="D214" s="79">
        <v>28.1</v>
      </c>
      <c r="E214" s="314" t="s">
        <v>454</v>
      </c>
      <c r="F214" s="270">
        <f t="shared" si="0"/>
        <v>1200</v>
      </c>
      <c r="G214" s="296">
        <f t="shared" si="1"/>
        <v>2.3416666666666669E-2</v>
      </c>
    </row>
    <row r="215" spans="1:7" ht="25.5">
      <c r="A215" s="292" t="s">
        <v>722</v>
      </c>
      <c r="B215" s="294" t="s">
        <v>631</v>
      </c>
      <c r="C215" s="294" t="s">
        <v>726</v>
      </c>
      <c r="D215" s="79">
        <v>31.3</v>
      </c>
      <c r="E215" s="314" t="s">
        <v>454</v>
      </c>
      <c r="F215" s="270">
        <f t="shared" si="0"/>
        <v>1200</v>
      </c>
      <c r="G215" s="296">
        <f t="shared" si="1"/>
        <v>2.6083333333333333E-2</v>
      </c>
    </row>
    <row r="216" spans="1:7" ht="12.75">
      <c r="A216" s="292" t="s">
        <v>722</v>
      </c>
      <c r="B216" s="294" t="s">
        <v>631</v>
      </c>
      <c r="C216" s="294" t="s">
        <v>727</v>
      </c>
      <c r="D216" s="79">
        <v>7.3</v>
      </c>
      <c r="E216" s="314" t="s">
        <v>454</v>
      </c>
      <c r="F216" s="270">
        <f t="shared" si="0"/>
        <v>1200</v>
      </c>
      <c r="G216" s="296">
        <f t="shared" si="1"/>
        <v>6.083333333333333E-3</v>
      </c>
    </row>
    <row r="217" spans="1:7" ht="12.75">
      <c r="A217" s="292" t="s">
        <v>722</v>
      </c>
      <c r="B217" s="294" t="s">
        <v>631</v>
      </c>
      <c r="C217" s="294" t="s">
        <v>674</v>
      </c>
      <c r="D217" s="79">
        <v>16</v>
      </c>
      <c r="E217" s="314" t="s">
        <v>454</v>
      </c>
      <c r="F217" s="270">
        <f t="shared" si="0"/>
        <v>1200</v>
      </c>
      <c r="G217" s="296">
        <f t="shared" si="1"/>
        <v>1.3333333333333334E-2</v>
      </c>
    </row>
    <row r="218" spans="1:7" ht="12.75">
      <c r="A218" s="292" t="s">
        <v>722</v>
      </c>
      <c r="B218" s="294" t="s">
        <v>631</v>
      </c>
      <c r="C218" s="294" t="s">
        <v>717</v>
      </c>
      <c r="D218" s="79">
        <v>29.74</v>
      </c>
      <c r="E218" s="314" t="s">
        <v>454</v>
      </c>
      <c r="F218" s="270">
        <f t="shared" si="0"/>
        <v>1200</v>
      </c>
      <c r="G218" s="296">
        <f t="shared" si="1"/>
        <v>2.4783333333333331E-2</v>
      </c>
    </row>
    <row r="219" spans="1:7" ht="12.75">
      <c r="A219" s="292" t="s">
        <v>722</v>
      </c>
      <c r="B219" s="294" t="s">
        <v>631</v>
      </c>
      <c r="C219" s="294" t="s">
        <v>728</v>
      </c>
      <c r="D219" s="79">
        <v>12.4</v>
      </c>
      <c r="E219" s="314" t="s">
        <v>454</v>
      </c>
      <c r="F219" s="270">
        <f t="shared" si="0"/>
        <v>1200</v>
      </c>
      <c r="G219" s="296">
        <f t="shared" si="1"/>
        <v>1.0333333333333333E-2</v>
      </c>
    </row>
    <row r="220" spans="1:7" ht="12.75">
      <c r="A220" s="292" t="s">
        <v>722</v>
      </c>
      <c r="B220" s="294" t="s">
        <v>631</v>
      </c>
      <c r="C220" s="294" t="s">
        <v>637</v>
      </c>
      <c r="D220" s="79">
        <v>12.3</v>
      </c>
      <c r="E220" s="314" t="s">
        <v>454</v>
      </c>
      <c r="F220" s="270">
        <f t="shared" si="0"/>
        <v>1200</v>
      </c>
      <c r="G220" s="296">
        <f t="shared" si="1"/>
        <v>1.025E-2</v>
      </c>
    </row>
    <row r="221" spans="1:7" ht="12.75">
      <c r="A221" s="292" t="s">
        <v>722</v>
      </c>
      <c r="B221" s="294" t="s">
        <v>631</v>
      </c>
      <c r="C221" s="294" t="s">
        <v>728</v>
      </c>
      <c r="D221" s="79">
        <v>13.93</v>
      </c>
      <c r="E221" s="314" t="s">
        <v>454</v>
      </c>
      <c r="F221" s="270">
        <f t="shared" si="0"/>
        <v>1200</v>
      </c>
      <c r="G221" s="296">
        <f t="shared" si="1"/>
        <v>1.1608333333333333E-2</v>
      </c>
    </row>
    <row r="222" spans="1:7" ht="12.75">
      <c r="A222" s="292" t="s">
        <v>722</v>
      </c>
      <c r="B222" s="294" t="s">
        <v>631</v>
      </c>
      <c r="C222" s="294" t="s">
        <v>729</v>
      </c>
      <c r="D222" s="79">
        <v>15.6</v>
      </c>
      <c r="E222" s="314" t="s">
        <v>454</v>
      </c>
      <c r="F222" s="270">
        <f t="shared" si="0"/>
        <v>1200</v>
      </c>
      <c r="G222" s="296">
        <f t="shared" si="1"/>
        <v>1.2999999999999999E-2</v>
      </c>
    </row>
    <row r="223" spans="1:7" ht="12.75">
      <c r="A223" s="292" t="s">
        <v>722</v>
      </c>
      <c r="B223" s="294" t="s">
        <v>631</v>
      </c>
      <c r="C223" s="294" t="s">
        <v>730</v>
      </c>
      <c r="D223" s="79">
        <v>14.84</v>
      </c>
      <c r="E223" s="314" t="s">
        <v>454</v>
      </c>
      <c r="F223" s="270">
        <f t="shared" si="0"/>
        <v>1200</v>
      </c>
      <c r="G223" s="296">
        <f t="shared" si="1"/>
        <v>1.2366666666666666E-2</v>
      </c>
    </row>
    <row r="224" spans="1:7" ht="12.75">
      <c r="A224" s="292" t="s">
        <v>722</v>
      </c>
      <c r="B224" s="294" t="s">
        <v>631</v>
      </c>
      <c r="C224" s="294" t="s">
        <v>731</v>
      </c>
      <c r="D224" s="79">
        <v>15.4</v>
      </c>
      <c r="E224" s="314" t="s">
        <v>454</v>
      </c>
      <c r="F224" s="270">
        <f t="shared" si="0"/>
        <v>1200</v>
      </c>
      <c r="G224" s="296">
        <f t="shared" si="1"/>
        <v>1.2833333333333334E-2</v>
      </c>
    </row>
    <row r="225" spans="1:7" ht="12.75">
      <c r="A225" s="292" t="s">
        <v>722</v>
      </c>
      <c r="B225" s="294" t="s">
        <v>631</v>
      </c>
      <c r="C225" s="294" t="s">
        <v>732</v>
      </c>
      <c r="D225" s="79">
        <v>15.1</v>
      </c>
      <c r="E225" s="314" t="s">
        <v>454</v>
      </c>
      <c r="F225" s="270">
        <f t="shared" si="0"/>
        <v>1200</v>
      </c>
      <c r="G225" s="296">
        <f t="shared" si="1"/>
        <v>1.2583333333333334E-2</v>
      </c>
    </row>
    <row r="226" spans="1:7" ht="12.75">
      <c r="A226" s="292" t="s">
        <v>722</v>
      </c>
      <c r="B226" s="294" t="s">
        <v>631</v>
      </c>
      <c r="C226" s="294" t="s">
        <v>683</v>
      </c>
      <c r="D226" s="79">
        <v>15</v>
      </c>
      <c r="E226" s="314" t="s">
        <v>489</v>
      </c>
      <c r="F226" s="270">
        <f t="shared" si="0"/>
        <v>2500</v>
      </c>
      <c r="G226" s="296">
        <f t="shared" si="1"/>
        <v>6.0000000000000001E-3</v>
      </c>
    </row>
    <row r="227" spans="1:7" ht="12.75">
      <c r="A227" s="292" t="s">
        <v>722</v>
      </c>
      <c r="B227" s="294" t="s">
        <v>631</v>
      </c>
      <c r="C227" s="294" t="s">
        <v>731</v>
      </c>
      <c r="D227" s="79">
        <v>15.4</v>
      </c>
      <c r="E227" s="314" t="s">
        <v>454</v>
      </c>
      <c r="F227" s="270">
        <f t="shared" si="0"/>
        <v>1200</v>
      </c>
      <c r="G227" s="296">
        <f t="shared" si="1"/>
        <v>1.2833333333333334E-2</v>
      </c>
    </row>
    <row r="228" spans="1:7" ht="12.75">
      <c r="A228" s="292" t="s">
        <v>722</v>
      </c>
      <c r="B228" s="294" t="s">
        <v>631</v>
      </c>
      <c r="C228" s="294" t="s">
        <v>733</v>
      </c>
      <c r="D228" s="79">
        <v>15</v>
      </c>
      <c r="E228" s="314" t="s">
        <v>454</v>
      </c>
      <c r="F228" s="270">
        <f t="shared" si="0"/>
        <v>1200</v>
      </c>
      <c r="G228" s="296">
        <f t="shared" si="1"/>
        <v>1.2500000000000001E-2</v>
      </c>
    </row>
    <row r="229" spans="1:7" ht="12.75">
      <c r="A229" s="292" t="s">
        <v>722</v>
      </c>
      <c r="B229" s="294" t="s">
        <v>631</v>
      </c>
      <c r="C229" s="294" t="s">
        <v>734</v>
      </c>
      <c r="D229" s="79">
        <v>85.51</v>
      </c>
      <c r="E229" s="314" t="s">
        <v>454</v>
      </c>
      <c r="F229" s="270">
        <f t="shared" si="0"/>
        <v>1200</v>
      </c>
      <c r="G229" s="296">
        <f t="shared" si="1"/>
        <v>7.125833333333334E-2</v>
      </c>
    </row>
    <row r="230" spans="1:7" ht="25.5">
      <c r="A230" s="292" t="s">
        <v>722</v>
      </c>
      <c r="B230" s="294" t="s">
        <v>631</v>
      </c>
      <c r="C230" s="294" t="s">
        <v>735</v>
      </c>
      <c r="D230" s="79">
        <v>28.4</v>
      </c>
      <c r="E230" s="314" t="s">
        <v>454</v>
      </c>
      <c r="F230" s="270">
        <f t="shared" si="0"/>
        <v>1200</v>
      </c>
      <c r="G230" s="296">
        <f t="shared" si="1"/>
        <v>2.3666666666666666E-2</v>
      </c>
    </row>
    <row r="231" spans="1:7" ht="12.75">
      <c r="A231" s="292" t="s">
        <v>722</v>
      </c>
      <c r="B231" s="294" t="s">
        <v>631</v>
      </c>
      <c r="C231" s="294" t="s">
        <v>674</v>
      </c>
      <c r="D231" s="79">
        <v>57.5</v>
      </c>
      <c r="E231" s="314" t="s">
        <v>454</v>
      </c>
      <c r="F231" s="270">
        <f t="shared" si="0"/>
        <v>1200</v>
      </c>
      <c r="G231" s="296">
        <f t="shared" si="1"/>
        <v>4.791666666666667E-2</v>
      </c>
    </row>
    <row r="232" spans="1:7" ht="12.75">
      <c r="A232" s="292" t="s">
        <v>722</v>
      </c>
      <c r="B232" s="294" t="s">
        <v>631</v>
      </c>
      <c r="C232" s="294" t="s">
        <v>736</v>
      </c>
      <c r="D232" s="79">
        <v>8.6999999999999993</v>
      </c>
      <c r="E232" s="314" t="s">
        <v>454</v>
      </c>
      <c r="F232" s="270">
        <f t="shared" si="0"/>
        <v>1200</v>
      </c>
      <c r="G232" s="296">
        <f t="shared" si="1"/>
        <v>7.2499999999999995E-3</v>
      </c>
    </row>
    <row r="233" spans="1:7" ht="12.75">
      <c r="A233" s="292" t="s">
        <v>722</v>
      </c>
      <c r="B233" s="294" t="s">
        <v>631</v>
      </c>
      <c r="C233" s="294" t="s">
        <v>576</v>
      </c>
      <c r="D233" s="367">
        <f>2.9+1.8</f>
        <v>4.7</v>
      </c>
      <c r="E233" s="314" t="s">
        <v>467</v>
      </c>
      <c r="F233" s="270">
        <f t="shared" si="0"/>
        <v>300</v>
      </c>
      <c r="G233" s="296">
        <f t="shared" si="1"/>
        <v>1.5666666666666666E-2</v>
      </c>
    </row>
    <row r="234" spans="1:7" ht="12.75">
      <c r="A234" s="292" t="s">
        <v>722</v>
      </c>
      <c r="B234" s="294" t="s">
        <v>631</v>
      </c>
      <c r="C234" s="294" t="s">
        <v>737</v>
      </c>
      <c r="D234" s="79">
        <v>12.5</v>
      </c>
      <c r="E234" s="314" t="s">
        <v>454</v>
      </c>
      <c r="F234" s="270">
        <f t="shared" si="0"/>
        <v>1200</v>
      </c>
      <c r="G234" s="296">
        <f t="shared" si="1"/>
        <v>1.0416666666666666E-2</v>
      </c>
    </row>
    <row r="235" spans="1:7" ht="25.5">
      <c r="A235" s="292" t="s">
        <v>722</v>
      </c>
      <c r="B235" s="294" t="s">
        <v>631</v>
      </c>
      <c r="C235" s="294" t="s">
        <v>675</v>
      </c>
      <c r="D235" s="79">
        <v>8.5</v>
      </c>
      <c r="E235" s="314" t="s">
        <v>454</v>
      </c>
      <c r="F235" s="270">
        <f t="shared" si="0"/>
        <v>1200</v>
      </c>
      <c r="G235" s="296">
        <f t="shared" si="1"/>
        <v>7.083333333333333E-3</v>
      </c>
    </row>
    <row r="236" spans="1:7" ht="12.75">
      <c r="A236" s="292" t="s">
        <v>722</v>
      </c>
      <c r="B236" s="294" t="s">
        <v>631</v>
      </c>
      <c r="C236" s="294" t="s">
        <v>736</v>
      </c>
      <c r="D236" s="79">
        <v>9.5</v>
      </c>
      <c r="E236" s="314" t="s">
        <v>454</v>
      </c>
      <c r="F236" s="270">
        <f t="shared" si="0"/>
        <v>1200</v>
      </c>
      <c r="G236" s="296">
        <f t="shared" si="1"/>
        <v>7.9166666666666673E-3</v>
      </c>
    </row>
    <row r="237" spans="1:7" ht="25.5">
      <c r="A237" s="292" t="s">
        <v>722</v>
      </c>
      <c r="B237" s="294" t="s">
        <v>631</v>
      </c>
      <c r="C237" s="294" t="s">
        <v>738</v>
      </c>
      <c r="D237" s="79">
        <v>12.2</v>
      </c>
      <c r="E237" s="314" t="s">
        <v>454</v>
      </c>
      <c r="F237" s="270">
        <f t="shared" si="0"/>
        <v>1200</v>
      </c>
      <c r="G237" s="296">
        <f t="shared" si="1"/>
        <v>1.0166666666666666E-2</v>
      </c>
    </row>
    <row r="238" spans="1:7" ht="12.75">
      <c r="A238" s="292" t="s">
        <v>722</v>
      </c>
      <c r="B238" s="294" t="s">
        <v>631</v>
      </c>
      <c r="C238" s="294" t="s">
        <v>739</v>
      </c>
      <c r="D238" s="79">
        <v>12.4</v>
      </c>
      <c r="E238" s="314" t="s">
        <v>454</v>
      </c>
      <c r="F238" s="270">
        <f t="shared" si="0"/>
        <v>1200</v>
      </c>
      <c r="G238" s="296">
        <f t="shared" si="1"/>
        <v>1.0333333333333333E-2</v>
      </c>
    </row>
    <row r="239" spans="1:7" ht="12.75">
      <c r="A239" s="292" t="s">
        <v>722</v>
      </c>
      <c r="B239" s="294" t="s">
        <v>631</v>
      </c>
      <c r="C239" s="294" t="s">
        <v>740</v>
      </c>
      <c r="D239" s="79">
        <v>12.5</v>
      </c>
      <c r="E239" s="314" t="s">
        <v>454</v>
      </c>
      <c r="F239" s="270">
        <f t="shared" si="0"/>
        <v>1200</v>
      </c>
      <c r="G239" s="296">
        <f t="shared" si="1"/>
        <v>1.0416666666666666E-2</v>
      </c>
    </row>
    <row r="240" spans="1:7" ht="12.75">
      <c r="A240" s="292" t="s">
        <v>722</v>
      </c>
      <c r="B240" s="294" t="s">
        <v>631</v>
      </c>
      <c r="C240" s="294" t="s">
        <v>741</v>
      </c>
      <c r="D240" s="79">
        <v>20.399999999999999</v>
      </c>
      <c r="E240" s="314" t="s">
        <v>454</v>
      </c>
      <c r="F240" s="270">
        <f t="shared" si="0"/>
        <v>1200</v>
      </c>
      <c r="G240" s="296">
        <f t="shared" si="1"/>
        <v>1.6999999999999998E-2</v>
      </c>
    </row>
    <row r="241" spans="1:7" ht="12.75">
      <c r="A241" s="292" t="s">
        <v>722</v>
      </c>
      <c r="B241" s="294" t="s">
        <v>578</v>
      </c>
      <c r="C241" s="294" t="s">
        <v>576</v>
      </c>
      <c r="D241" s="367">
        <f>21.9+22.1</f>
        <v>44</v>
      </c>
      <c r="E241" s="314" t="s">
        <v>467</v>
      </c>
      <c r="F241" s="270">
        <f t="shared" si="0"/>
        <v>300</v>
      </c>
      <c r="G241" s="296">
        <f t="shared" si="1"/>
        <v>0.14666666666666667</v>
      </c>
    </row>
    <row r="242" spans="1:7" ht="12.75">
      <c r="A242" s="292" t="s">
        <v>722</v>
      </c>
      <c r="B242" s="294" t="s">
        <v>578</v>
      </c>
      <c r="C242" s="294" t="s">
        <v>517</v>
      </c>
      <c r="D242" s="367">
        <f>12.6+2.6</f>
        <v>15.2</v>
      </c>
      <c r="E242" s="314" t="s">
        <v>489</v>
      </c>
      <c r="F242" s="270">
        <f t="shared" si="0"/>
        <v>2500</v>
      </c>
      <c r="G242" s="296">
        <f t="shared" si="1"/>
        <v>6.0799999999999995E-3</v>
      </c>
    </row>
    <row r="243" spans="1:7" ht="12.75">
      <c r="A243" s="292" t="s">
        <v>722</v>
      </c>
      <c r="B243" s="294" t="s">
        <v>578</v>
      </c>
      <c r="C243" s="294" t="s">
        <v>683</v>
      </c>
      <c r="D243" s="79">
        <v>17.8</v>
      </c>
      <c r="E243" s="314" t="s">
        <v>489</v>
      </c>
      <c r="F243" s="270">
        <f t="shared" si="0"/>
        <v>2500</v>
      </c>
      <c r="G243" s="296">
        <f t="shared" si="1"/>
        <v>7.1200000000000005E-3</v>
      </c>
    </row>
    <row r="244" spans="1:7" ht="12.75">
      <c r="A244" s="292" t="s">
        <v>722</v>
      </c>
      <c r="B244" s="294" t="s">
        <v>578</v>
      </c>
      <c r="C244" s="294" t="s">
        <v>742</v>
      </c>
      <c r="D244" s="79">
        <v>103.03</v>
      </c>
      <c r="E244" s="314" t="s">
        <v>582</v>
      </c>
      <c r="F244" s="270">
        <f t="shared" si="0"/>
        <v>1200</v>
      </c>
      <c r="G244" s="296">
        <f t="shared" si="1"/>
        <v>8.5858333333333328E-2</v>
      </c>
    </row>
    <row r="245" spans="1:7" ht="12.75">
      <c r="A245" s="292" t="s">
        <v>722</v>
      </c>
      <c r="B245" s="294" t="s">
        <v>578</v>
      </c>
      <c r="C245" s="294" t="s">
        <v>743</v>
      </c>
      <c r="D245" s="79">
        <v>51.48</v>
      </c>
      <c r="E245" s="314" t="s">
        <v>582</v>
      </c>
      <c r="F245" s="270">
        <f t="shared" si="0"/>
        <v>1200</v>
      </c>
      <c r="G245" s="296">
        <f t="shared" si="1"/>
        <v>4.2900000000000001E-2</v>
      </c>
    </row>
    <row r="246" spans="1:7" ht="12.75">
      <c r="A246" s="292" t="s">
        <v>722</v>
      </c>
      <c r="B246" s="294" t="s">
        <v>578</v>
      </c>
      <c r="C246" s="294" t="s">
        <v>744</v>
      </c>
      <c r="D246" s="79">
        <v>51.21</v>
      </c>
      <c r="E246" s="314" t="s">
        <v>582</v>
      </c>
      <c r="F246" s="270">
        <f t="shared" si="0"/>
        <v>1200</v>
      </c>
      <c r="G246" s="296">
        <f t="shared" si="1"/>
        <v>4.2674999999999998E-2</v>
      </c>
    </row>
    <row r="247" spans="1:7" ht="12.75">
      <c r="A247" s="292" t="s">
        <v>722</v>
      </c>
      <c r="B247" s="294" t="s">
        <v>578</v>
      </c>
      <c r="C247" s="294" t="s">
        <v>745</v>
      </c>
      <c r="D247" s="79">
        <v>51.16</v>
      </c>
      <c r="E247" s="314" t="s">
        <v>582</v>
      </c>
      <c r="F247" s="270">
        <f t="shared" si="0"/>
        <v>1200</v>
      </c>
      <c r="G247" s="296">
        <f t="shared" si="1"/>
        <v>4.2633333333333329E-2</v>
      </c>
    </row>
    <row r="248" spans="1:7" ht="12.75">
      <c r="A248" s="292" t="s">
        <v>722</v>
      </c>
      <c r="B248" s="294" t="s">
        <v>578</v>
      </c>
      <c r="C248" s="294" t="s">
        <v>746</v>
      </c>
      <c r="D248" s="79">
        <v>51.73</v>
      </c>
      <c r="E248" s="314" t="s">
        <v>582</v>
      </c>
      <c r="F248" s="270">
        <f t="shared" si="0"/>
        <v>1200</v>
      </c>
      <c r="G248" s="296">
        <f t="shared" si="1"/>
        <v>4.3108333333333332E-2</v>
      </c>
    </row>
    <row r="249" spans="1:7" ht="12.75">
      <c r="A249" s="292" t="s">
        <v>722</v>
      </c>
      <c r="B249" s="294" t="s">
        <v>578</v>
      </c>
      <c r="C249" s="294" t="s">
        <v>747</v>
      </c>
      <c r="D249" s="79">
        <v>51.4</v>
      </c>
      <c r="E249" s="314" t="s">
        <v>582</v>
      </c>
      <c r="F249" s="270">
        <f t="shared" si="0"/>
        <v>1200</v>
      </c>
      <c r="G249" s="296">
        <f t="shared" si="1"/>
        <v>4.2833333333333334E-2</v>
      </c>
    </row>
    <row r="250" spans="1:7" ht="12.75">
      <c r="A250" s="292" t="s">
        <v>722</v>
      </c>
      <c r="B250" s="294" t="s">
        <v>578</v>
      </c>
      <c r="C250" s="294" t="s">
        <v>748</v>
      </c>
      <c r="D250" s="79">
        <v>51.28</v>
      </c>
      <c r="E250" s="314" t="s">
        <v>582</v>
      </c>
      <c r="F250" s="270">
        <f t="shared" si="0"/>
        <v>1200</v>
      </c>
      <c r="G250" s="296">
        <f t="shared" si="1"/>
        <v>4.2733333333333332E-2</v>
      </c>
    </row>
    <row r="251" spans="1:7" ht="12.75">
      <c r="A251" s="292" t="s">
        <v>722</v>
      </c>
      <c r="B251" s="294" t="s">
        <v>578</v>
      </c>
      <c r="C251" s="294" t="s">
        <v>749</v>
      </c>
      <c r="D251" s="79">
        <v>51.9</v>
      </c>
      <c r="E251" s="314" t="s">
        <v>582</v>
      </c>
      <c r="F251" s="270">
        <f t="shared" si="0"/>
        <v>1200</v>
      </c>
      <c r="G251" s="296">
        <f t="shared" si="1"/>
        <v>4.3249999999999997E-2</v>
      </c>
    </row>
    <row r="252" spans="1:7" ht="12.75">
      <c r="A252" s="292" t="s">
        <v>722</v>
      </c>
      <c r="B252" s="294" t="s">
        <v>578</v>
      </c>
      <c r="C252" s="294" t="s">
        <v>750</v>
      </c>
      <c r="D252" s="79">
        <v>51.66</v>
      </c>
      <c r="E252" s="314" t="s">
        <v>582</v>
      </c>
      <c r="F252" s="270">
        <f t="shared" si="0"/>
        <v>1200</v>
      </c>
      <c r="G252" s="296">
        <f t="shared" si="1"/>
        <v>4.3049999999999998E-2</v>
      </c>
    </row>
    <row r="253" spans="1:7" ht="12.75">
      <c r="A253" s="292" t="s">
        <v>722</v>
      </c>
      <c r="B253" s="294" t="s">
        <v>578</v>
      </c>
      <c r="C253" s="294" t="s">
        <v>751</v>
      </c>
      <c r="D253" s="79">
        <v>127.02</v>
      </c>
      <c r="E253" s="314" t="s">
        <v>582</v>
      </c>
      <c r="F253" s="270">
        <f t="shared" si="0"/>
        <v>1200</v>
      </c>
      <c r="G253" s="296">
        <f t="shared" si="1"/>
        <v>0.10585</v>
      </c>
    </row>
    <row r="254" spans="1:7" ht="12.75">
      <c r="A254" s="292" t="s">
        <v>722</v>
      </c>
      <c r="B254" s="368" t="s">
        <v>607</v>
      </c>
      <c r="C254" s="368" t="s">
        <v>576</v>
      </c>
      <c r="D254" s="81">
        <f>21.9+22.1</f>
        <v>44</v>
      </c>
      <c r="E254" s="314" t="s">
        <v>467</v>
      </c>
      <c r="F254" s="270">
        <f t="shared" si="0"/>
        <v>300</v>
      </c>
      <c r="G254" s="296">
        <f t="shared" si="1"/>
        <v>0.14666666666666667</v>
      </c>
    </row>
    <row r="255" spans="1:7" ht="12.75">
      <c r="A255" s="292" t="s">
        <v>722</v>
      </c>
      <c r="B255" s="368" t="s">
        <v>607</v>
      </c>
      <c r="C255" s="368" t="s">
        <v>517</v>
      </c>
      <c r="D255" s="81">
        <f>2.6+12.6</f>
        <v>15.2</v>
      </c>
      <c r="E255" s="314" t="s">
        <v>489</v>
      </c>
      <c r="F255" s="270">
        <f t="shared" si="0"/>
        <v>2500</v>
      </c>
      <c r="G255" s="296">
        <f t="shared" si="1"/>
        <v>6.0799999999999995E-3</v>
      </c>
    </row>
    <row r="256" spans="1:7" ht="12.75">
      <c r="A256" s="292" t="s">
        <v>722</v>
      </c>
      <c r="B256" s="368" t="s">
        <v>607</v>
      </c>
      <c r="C256" s="368" t="s">
        <v>482</v>
      </c>
      <c r="D256" s="81">
        <v>17.8</v>
      </c>
      <c r="E256" s="314" t="s">
        <v>489</v>
      </c>
      <c r="F256" s="270">
        <f t="shared" si="0"/>
        <v>2500</v>
      </c>
      <c r="G256" s="296">
        <f t="shared" si="1"/>
        <v>7.1200000000000005E-3</v>
      </c>
    </row>
    <row r="257" spans="1:7" ht="12.75">
      <c r="A257" s="292" t="s">
        <v>722</v>
      </c>
      <c r="B257" s="368" t="s">
        <v>607</v>
      </c>
      <c r="C257" s="368" t="s">
        <v>752</v>
      </c>
      <c r="D257" s="81">
        <v>50.33</v>
      </c>
      <c r="E257" s="314" t="s">
        <v>582</v>
      </c>
      <c r="F257" s="270">
        <f t="shared" si="0"/>
        <v>1200</v>
      </c>
      <c r="G257" s="296">
        <f t="shared" si="1"/>
        <v>4.1941666666666662E-2</v>
      </c>
    </row>
    <row r="258" spans="1:7" ht="12.75">
      <c r="A258" s="292" t="s">
        <v>722</v>
      </c>
      <c r="B258" s="368" t="s">
        <v>607</v>
      </c>
      <c r="C258" s="368" t="s">
        <v>753</v>
      </c>
      <c r="D258" s="81">
        <v>51.87</v>
      </c>
      <c r="E258" s="314" t="s">
        <v>582</v>
      </c>
      <c r="F258" s="270">
        <f t="shared" si="0"/>
        <v>1200</v>
      </c>
      <c r="G258" s="296">
        <f t="shared" si="1"/>
        <v>4.3225E-2</v>
      </c>
    </row>
    <row r="259" spans="1:7" ht="12.75">
      <c r="A259" s="292" t="s">
        <v>722</v>
      </c>
      <c r="B259" s="368" t="s">
        <v>607</v>
      </c>
      <c r="C259" s="368" t="s">
        <v>754</v>
      </c>
      <c r="D259" s="81">
        <v>51.11</v>
      </c>
      <c r="E259" s="314" t="s">
        <v>582</v>
      </c>
      <c r="F259" s="270">
        <f t="shared" si="0"/>
        <v>1200</v>
      </c>
      <c r="G259" s="296">
        <f t="shared" si="1"/>
        <v>4.2591666666666667E-2</v>
      </c>
    </row>
    <row r="260" spans="1:7" ht="12.75">
      <c r="A260" s="292" t="s">
        <v>722</v>
      </c>
      <c r="B260" s="368" t="s">
        <v>607</v>
      </c>
      <c r="C260" s="368" t="s">
        <v>755</v>
      </c>
      <c r="D260" s="81">
        <v>51.87</v>
      </c>
      <c r="E260" s="314" t="s">
        <v>582</v>
      </c>
      <c r="F260" s="270">
        <f t="shared" si="0"/>
        <v>1200</v>
      </c>
      <c r="G260" s="296">
        <f t="shared" si="1"/>
        <v>4.3225E-2</v>
      </c>
    </row>
    <row r="261" spans="1:7" ht="12.75">
      <c r="A261" s="292" t="s">
        <v>722</v>
      </c>
      <c r="B261" s="368" t="s">
        <v>607</v>
      </c>
      <c r="C261" s="368" t="s">
        <v>756</v>
      </c>
      <c r="D261" s="81">
        <v>51.41</v>
      </c>
      <c r="E261" s="314" t="s">
        <v>582</v>
      </c>
      <c r="F261" s="270">
        <f t="shared" si="0"/>
        <v>1200</v>
      </c>
      <c r="G261" s="296">
        <f t="shared" si="1"/>
        <v>4.2841666666666667E-2</v>
      </c>
    </row>
    <row r="262" spans="1:7" ht="12.75">
      <c r="A262" s="292" t="s">
        <v>722</v>
      </c>
      <c r="B262" s="368" t="s">
        <v>607</v>
      </c>
      <c r="C262" s="368" t="s">
        <v>757</v>
      </c>
      <c r="D262" s="81">
        <v>51.8</v>
      </c>
      <c r="E262" s="314" t="s">
        <v>582</v>
      </c>
      <c r="F262" s="270">
        <f t="shared" si="0"/>
        <v>1200</v>
      </c>
      <c r="G262" s="296">
        <f t="shared" si="1"/>
        <v>4.3166666666666666E-2</v>
      </c>
    </row>
    <row r="263" spans="1:7" ht="12.75">
      <c r="A263" s="292" t="s">
        <v>722</v>
      </c>
      <c r="B263" s="368" t="s">
        <v>607</v>
      </c>
      <c r="C263" s="368" t="s">
        <v>758</v>
      </c>
      <c r="D263" s="81">
        <v>51.23</v>
      </c>
      <c r="E263" s="314" t="s">
        <v>582</v>
      </c>
      <c r="F263" s="270">
        <f t="shared" si="0"/>
        <v>1200</v>
      </c>
      <c r="G263" s="296">
        <f t="shared" si="1"/>
        <v>4.2691666666666662E-2</v>
      </c>
    </row>
    <row r="264" spans="1:7" ht="12.75">
      <c r="A264" s="292" t="s">
        <v>722</v>
      </c>
      <c r="B264" s="368" t="s">
        <v>607</v>
      </c>
      <c r="C264" s="368" t="s">
        <v>759</v>
      </c>
      <c r="D264" s="81">
        <v>50.53</v>
      </c>
      <c r="E264" s="314" t="s">
        <v>582</v>
      </c>
      <c r="F264" s="270">
        <f t="shared" si="0"/>
        <v>1200</v>
      </c>
      <c r="G264" s="296">
        <f t="shared" si="1"/>
        <v>4.2108333333333331E-2</v>
      </c>
    </row>
    <row r="265" spans="1:7" ht="12.75">
      <c r="A265" s="292" t="s">
        <v>722</v>
      </c>
      <c r="B265" s="368" t="s">
        <v>607</v>
      </c>
      <c r="C265" s="368" t="s">
        <v>760</v>
      </c>
      <c r="D265" s="81">
        <v>51.03</v>
      </c>
      <c r="E265" s="314" t="s">
        <v>582</v>
      </c>
      <c r="F265" s="270">
        <f t="shared" si="0"/>
        <v>1200</v>
      </c>
      <c r="G265" s="296">
        <f t="shared" si="1"/>
        <v>4.2525E-2</v>
      </c>
    </row>
    <row r="266" spans="1:7" ht="12.75">
      <c r="A266" s="292" t="s">
        <v>722</v>
      </c>
      <c r="B266" s="368" t="s">
        <v>607</v>
      </c>
      <c r="C266" s="368" t="s">
        <v>761</v>
      </c>
      <c r="D266" s="81">
        <v>51.8</v>
      </c>
      <c r="E266" s="314" t="s">
        <v>582</v>
      </c>
      <c r="F266" s="270">
        <f t="shared" si="0"/>
        <v>1200</v>
      </c>
      <c r="G266" s="296">
        <f t="shared" si="1"/>
        <v>4.3166666666666666E-2</v>
      </c>
    </row>
    <row r="267" spans="1:7" ht="12.75">
      <c r="A267" s="292" t="s">
        <v>722</v>
      </c>
      <c r="B267" s="368" t="s">
        <v>607</v>
      </c>
      <c r="C267" s="368" t="s">
        <v>762</v>
      </c>
      <c r="D267" s="81">
        <v>58.92</v>
      </c>
      <c r="E267" s="314" t="s">
        <v>582</v>
      </c>
      <c r="F267" s="270">
        <f t="shared" si="0"/>
        <v>1200</v>
      </c>
      <c r="G267" s="296">
        <f t="shared" si="1"/>
        <v>4.9100000000000005E-2</v>
      </c>
    </row>
    <row r="268" spans="1:7" ht="12.75">
      <c r="A268" s="292" t="s">
        <v>722</v>
      </c>
      <c r="B268" s="368" t="s">
        <v>607</v>
      </c>
      <c r="C268" s="368" t="s">
        <v>763</v>
      </c>
      <c r="D268" s="81">
        <v>61.31</v>
      </c>
      <c r="E268" s="314" t="s">
        <v>582</v>
      </c>
      <c r="F268" s="270">
        <f t="shared" si="0"/>
        <v>1200</v>
      </c>
      <c r="G268" s="296">
        <f t="shared" si="1"/>
        <v>5.1091666666666667E-2</v>
      </c>
    </row>
    <row r="269" spans="1:7" ht="12.75">
      <c r="A269" s="369" t="s">
        <v>764</v>
      </c>
      <c r="B269" s="294" t="s">
        <v>631</v>
      </c>
      <c r="C269" s="368" t="s">
        <v>765</v>
      </c>
      <c r="D269" s="81">
        <v>3126.88</v>
      </c>
      <c r="E269" s="314" t="s">
        <v>454</v>
      </c>
      <c r="F269" s="270">
        <f t="shared" si="0"/>
        <v>1200</v>
      </c>
      <c r="G269" s="296">
        <f t="shared" si="1"/>
        <v>2.6057333333333332</v>
      </c>
    </row>
    <row r="270" spans="1:7" ht="12.75">
      <c r="A270" s="369" t="s">
        <v>766</v>
      </c>
      <c r="B270" s="294" t="s">
        <v>631</v>
      </c>
      <c r="C270" s="294" t="s">
        <v>766</v>
      </c>
      <c r="D270" s="81">
        <v>2795.28</v>
      </c>
      <c r="E270" s="314" t="s">
        <v>454</v>
      </c>
      <c r="F270" s="270">
        <f t="shared" si="0"/>
        <v>1200</v>
      </c>
      <c r="G270" s="296">
        <f t="shared" si="1"/>
        <v>2.3294000000000001</v>
      </c>
    </row>
    <row r="271" spans="1:7" ht="51">
      <c r="A271" s="343" t="s">
        <v>767</v>
      </c>
      <c r="B271" s="344" t="s">
        <v>768</v>
      </c>
      <c r="C271" s="370" t="s">
        <v>769</v>
      </c>
      <c r="D271" s="345">
        <v>29.74</v>
      </c>
      <c r="E271" s="314" t="s">
        <v>454</v>
      </c>
      <c r="F271" s="270">
        <f t="shared" si="0"/>
        <v>1200</v>
      </c>
      <c r="G271" s="296">
        <f t="shared" si="1"/>
        <v>2.4783333333333331E-2</v>
      </c>
    </row>
    <row r="272" spans="1:7" ht="25.5">
      <c r="A272" s="343" t="s">
        <v>770</v>
      </c>
      <c r="B272" s="344" t="s">
        <v>768</v>
      </c>
      <c r="C272" s="370" t="s">
        <v>771</v>
      </c>
      <c r="D272" s="345">
        <v>29.74</v>
      </c>
      <c r="E272" s="314" t="s">
        <v>454</v>
      </c>
      <c r="F272" s="270">
        <f>IF(E271="Pisos acarpetados",1200,IF(E271="Pisos frios",1200,IF(E271="Laboratórios",450,IF(E271="Almoxarifados/galpões",2500,IF(E271="Oficinas",1800,IF(E271="Áreas com espaços livres - saguão hall e salão",1500,IF(E271="Banheiros",300,0)))))))</f>
        <v>1200</v>
      </c>
      <c r="G272" s="296">
        <f t="shared" si="1"/>
        <v>2.4783333333333331E-2</v>
      </c>
    </row>
    <row r="273" spans="1:7" ht="12.75">
      <c r="A273" s="343" t="s">
        <v>772</v>
      </c>
      <c r="B273" s="344" t="s">
        <v>768</v>
      </c>
      <c r="C273" s="370" t="s">
        <v>772</v>
      </c>
      <c r="D273" s="345">
        <v>48.7</v>
      </c>
      <c r="E273" s="314"/>
      <c r="F273" s="270"/>
      <c r="G273" s="371">
        <v>0</v>
      </c>
    </row>
    <row r="274" spans="1:7" ht="12.75">
      <c r="F274" s="270">
        <f>IF(E273="Pisos acarpetados",1200,IF(E273="Pisos frios",1200,IF(E273="Laboratórios",450,IF(E273="Almoxarifados/galpões",2500,IF(E273="Oficinas",1800,IF(E273="Áreas com espaços livres - saguão hall e salão",1500,IF(E273="Banheiros",300,0)))))))</f>
        <v>0</v>
      </c>
      <c r="G274" s="371">
        <v>0</v>
      </c>
    </row>
    <row r="275" spans="1:7" ht="12.75">
      <c r="A275" s="604" t="s">
        <v>15</v>
      </c>
      <c r="B275" s="565"/>
      <c r="C275" s="566"/>
      <c r="D275" s="340">
        <f>SUM(D4:D270)</f>
        <v>18305.569999999996</v>
      </c>
      <c r="E275" s="341"/>
      <c r="F275" s="341"/>
      <c r="G275" s="342">
        <f>SUM(G4:G274)</f>
        <v>16.524993333333324</v>
      </c>
    </row>
  </sheetData>
  <mergeCells count="42">
    <mergeCell ref="T52:U52"/>
    <mergeCell ref="V52:W52"/>
    <mergeCell ref="T53:T54"/>
    <mergeCell ref="U53:U54"/>
    <mergeCell ref="V53:V54"/>
    <mergeCell ref="W53:W54"/>
    <mergeCell ref="P52:P54"/>
    <mergeCell ref="Q52:Q54"/>
    <mergeCell ref="A275:C275"/>
    <mergeCell ref="R52:R54"/>
    <mergeCell ref="S52:S54"/>
    <mergeCell ref="O51:W51"/>
    <mergeCell ref="O52:O54"/>
    <mergeCell ref="A1:G1"/>
    <mergeCell ref="I1:M1"/>
    <mergeCell ref="O1:T1"/>
    <mergeCell ref="A2:G2"/>
    <mergeCell ref="I2:M2"/>
    <mergeCell ref="O2:T2"/>
    <mergeCell ref="O12:T12"/>
    <mergeCell ref="O13:T13"/>
    <mergeCell ref="O19:S19"/>
    <mergeCell ref="O20:S20"/>
    <mergeCell ref="O24:T24"/>
    <mergeCell ref="P25:P27"/>
    <mergeCell ref="Q25:Q27"/>
    <mergeCell ref="T25:T27"/>
    <mergeCell ref="O25:O27"/>
    <mergeCell ref="O28:O34"/>
    <mergeCell ref="O35:O40"/>
    <mergeCell ref="O41:O43"/>
    <mergeCell ref="O46:R46"/>
    <mergeCell ref="O55:O61"/>
    <mergeCell ref="O62:O67"/>
    <mergeCell ref="O68:O70"/>
    <mergeCell ref="O73:Q73"/>
    <mergeCell ref="O74:T74"/>
    <mergeCell ref="R25:R27"/>
    <mergeCell ref="S25:S27"/>
    <mergeCell ref="S28:S34"/>
    <mergeCell ref="S35:S40"/>
    <mergeCell ref="S41:S43"/>
  </mergeCells>
  <dataValidations count="3">
    <dataValidation type="list" allowBlank="1" showInputMessage="1" showErrorMessage="1" prompt="IN 05/2017, ANEXO VI-B, ITEM 3.2" sqref="K4:K10" xr:uid="{00000000-0002-0000-0C00-000000000000}">
      <formula1>"Pisos pavimentados adjacentes/contíguos às edificações,Varrição de passeios e arruamentos,Pátios e áreas verdes com alta frequência,Pátios e áreas verdes com média frequência,Pátios e áreas verdes com baixa frequência,coleta de detritos em pátios e áreas "&amp;"verdes com frequência diária"</formula1>
    </dataValidation>
    <dataValidation type="list" allowBlank="1" showInputMessage="1" showErrorMessage="1" prompt="IN 05/2017 - ANEXO VI-B, item 3.1." sqref="E4:E273" xr:uid="{00000000-0002-0000-0C00-000001000000}">
      <formula1>"Pisos acarpetados,Pisos frios,Laboratórios,Almoxarifados/galpões,Oficinas,Áreas com espaços livres - saguão hall e salão,Banheiros"</formula1>
    </dataValidation>
    <dataValidation type="decimal" operator="greaterThan" allowBlank="1" showDropDown="1" showInputMessage="1" showErrorMessage="1" prompt="Informe um número!" sqref="D4:D273" xr:uid="{00000000-0002-0000-0C00-000002000000}">
      <formula1>0</formula1>
    </dataValidation>
  </dataValidations>
  <pageMargins left="0.39370078740157477" right="0.39370078740157477" top="0" bottom="0" header="0" footer="0"/>
  <pageSetup paperSize="9" fitToHeight="0" pageOrder="overThenDown" orientation="portrait"/>
  <headerFooter>
    <oddHeader>&amp;CANEXO I - N  - ÁREA CAMPUS BRASÍLIA (44h Segunda à Sexta)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34A853"/>
    <outlinePr summaryBelow="0" summaryRight="0"/>
    <pageSetUpPr fitToPage="1"/>
  </sheetPr>
  <dimension ref="A1:T122"/>
  <sheetViews>
    <sheetView showGridLines="0" workbookViewId="0">
      <pane ySplit="3" topLeftCell="A97" activePane="bottomLeft" state="frozen"/>
      <selection pane="bottomLeft" activeCell="J117" sqref="J117"/>
    </sheetView>
  </sheetViews>
  <sheetFormatPr defaultColWidth="14.42578125" defaultRowHeight="15" customHeight="1"/>
  <cols>
    <col min="1" max="1" width="23.7109375" customWidth="1"/>
    <col min="5" max="5" width="23.28515625" customWidth="1"/>
    <col min="6" max="6" width="22.85546875" customWidth="1"/>
    <col min="7" max="7" width="15.5703125" customWidth="1"/>
    <col min="11" max="11" width="54.28515625" customWidth="1"/>
    <col min="12" max="12" width="22.85546875" customWidth="1"/>
    <col min="13" max="13" width="51.42578125" customWidth="1"/>
    <col min="15" max="15" width="37.140625" customWidth="1"/>
    <col min="16" max="16" width="51.42578125" customWidth="1"/>
    <col min="17" max="17" width="16.28515625" customWidth="1"/>
    <col min="18" max="18" width="28.42578125" customWidth="1"/>
    <col min="19" max="19" width="32.85546875" customWidth="1"/>
    <col min="20" max="20" width="36.42578125" customWidth="1"/>
    <col min="21" max="21" width="5.42578125" customWidth="1"/>
  </cols>
  <sheetData>
    <row r="1" spans="1:20">
      <c r="A1" s="580" t="s">
        <v>54</v>
      </c>
      <c r="B1" s="568"/>
      <c r="C1" s="568"/>
      <c r="D1" s="568"/>
      <c r="E1" s="568"/>
      <c r="F1" s="568"/>
      <c r="G1" s="569"/>
      <c r="I1" s="581" t="s">
        <v>54</v>
      </c>
      <c r="J1" s="430"/>
      <c r="K1" s="430"/>
      <c r="L1" s="430"/>
      <c r="M1" s="430"/>
      <c r="O1" s="582" t="s">
        <v>54</v>
      </c>
      <c r="P1" s="549"/>
      <c r="Q1" s="549"/>
      <c r="R1" s="549"/>
      <c r="S1" s="549"/>
      <c r="T1" s="583"/>
    </row>
    <row r="2" spans="1:20">
      <c r="A2" s="584" t="s">
        <v>59</v>
      </c>
      <c r="B2" s="434"/>
      <c r="C2" s="434"/>
      <c r="D2" s="434"/>
      <c r="E2" s="434"/>
      <c r="F2" s="434"/>
      <c r="G2" s="585"/>
      <c r="I2" s="586" t="s">
        <v>60</v>
      </c>
      <c r="J2" s="434"/>
      <c r="K2" s="434"/>
      <c r="L2" s="434"/>
      <c r="M2" s="435"/>
      <c r="O2" s="587" t="s">
        <v>61</v>
      </c>
      <c r="P2" s="434"/>
      <c r="Q2" s="434"/>
      <c r="R2" s="434"/>
      <c r="S2" s="434"/>
      <c r="T2" s="588"/>
    </row>
    <row r="3" spans="1:20">
      <c r="A3" s="281" t="s">
        <v>438</v>
      </c>
      <c r="B3" s="282" t="s">
        <v>439</v>
      </c>
      <c r="C3" s="282" t="s">
        <v>440</v>
      </c>
      <c r="D3" s="282" t="s">
        <v>441</v>
      </c>
      <c r="E3" s="282" t="s">
        <v>442</v>
      </c>
      <c r="F3" s="282" t="s">
        <v>443</v>
      </c>
      <c r="G3" s="283" t="s">
        <v>444</v>
      </c>
      <c r="I3" s="284" t="s">
        <v>445</v>
      </c>
      <c r="J3" s="285" t="s">
        <v>441</v>
      </c>
      <c r="K3" s="286" t="s">
        <v>442</v>
      </c>
      <c r="L3" s="282" t="s">
        <v>443</v>
      </c>
      <c r="M3" s="287" t="s">
        <v>444</v>
      </c>
      <c r="O3" s="288" t="s">
        <v>2</v>
      </c>
      <c r="P3" s="289" t="s">
        <v>446</v>
      </c>
      <c r="Q3" s="289" t="s">
        <v>447</v>
      </c>
      <c r="R3" s="290" t="s">
        <v>448</v>
      </c>
      <c r="S3" s="290" t="s">
        <v>449</v>
      </c>
      <c r="T3" s="291" t="s">
        <v>450</v>
      </c>
    </row>
    <row r="4" spans="1:20" ht="26.25">
      <c r="A4" s="372" t="s">
        <v>773</v>
      </c>
      <c r="B4" s="373" t="s">
        <v>774</v>
      </c>
      <c r="C4" s="373" t="s">
        <v>655</v>
      </c>
      <c r="D4" s="374">
        <v>29.24</v>
      </c>
      <c r="E4" s="314" t="s">
        <v>573</v>
      </c>
      <c r="F4" s="270">
        <f t="shared" ref="F4:F121" si="0">IF(E4="Pisos acarpetados",1200,IF(E4="Pisos frios",1200,IF(E4="Laboratórios",450,IF(E4="Almoxarifados/galpões",2500,IF(E4="Oficinas",1800,IF(E4="Áreas com espaços livres - saguão hall e salão",1500,IF(E4="Banheiros",300,0)))))))</f>
        <v>1500</v>
      </c>
      <c r="G4" s="296">
        <f t="shared" ref="G4:G106" si="1">D4/F4</f>
        <v>1.9493333333333331E-2</v>
      </c>
      <c r="I4" s="375" t="s">
        <v>775</v>
      </c>
      <c r="J4" s="376">
        <v>8.14</v>
      </c>
      <c r="K4" s="270" t="s">
        <v>776</v>
      </c>
      <c r="L4" s="269">
        <f t="shared" ref="L4:L11" si="2">IF(K4="Pisos pavimentados adjacentes/contíguos às edificações",2700,IF(K4="Varrição de passeios e arruamentos",9000,IF(K4="Pátios e áreas verdes com alta frequência",2700,IF(K4="Pátios e áreas verdes com média frequência",2700,IF(K4="Pátios e áreas verdes com baixa frequência",2700,IF(K4="coleta de detritos em pátios e áreas verdes com frequência diária",100000,0))))))</f>
        <v>100000</v>
      </c>
      <c r="M4" s="269">
        <f t="shared" ref="M4:M11" si="3">J4/L4</f>
        <v>8.14E-5</v>
      </c>
      <c r="O4" s="297" t="s">
        <v>457</v>
      </c>
      <c r="P4" s="298">
        <v>297</v>
      </c>
      <c r="Q4" s="270">
        <v>380</v>
      </c>
      <c r="R4" s="270">
        <v>8</v>
      </c>
      <c r="S4" s="270">
        <v>1132.5999999999999</v>
      </c>
      <c r="T4" s="300">
        <f>(P4*R4)/(Q4*S4)</f>
        <v>5.5206000167290917E-3</v>
      </c>
    </row>
    <row r="5" spans="1:20" ht="30">
      <c r="A5" s="372" t="s">
        <v>773</v>
      </c>
      <c r="B5" s="373" t="s">
        <v>774</v>
      </c>
      <c r="C5" s="373" t="s">
        <v>777</v>
      </c>
      <c r="D5" s="374">
        <v>5.9</v>
      </c>
      <c r="E5" s="314" t="s">
        <v>467</v>
      </c>
      <c r="F5" s="270">
        <f t="shared" si="0"/>
        <v>300</v>
      </c>
      <c r="G5" s="296">
        <f t="shared" si="1"/>
        <v>1.9666666666666669E-2</v>
      </c>
      <c r="I5" s="375" t="s">
        <v>778</v>
      </c>
      <c r="J5" s="376">
        <v>467.64</v>
      </c>
      <c r="K5" s="270" t="s">
        <v>475</v>
      </c>
      <c r="L5" s="269">
        <f t="shared" si="2"/>
        <v>9000</v>
      </c>
      <c r="M5" s="269">
        <f t="shared" si="3"/>
        <v>5.1959999999999999E-2</v>
      </c>
      <c r="O5" s="288" t="s">
        <v>2</v>
      </c>
      <c r="P5" s="289" t="s">
        <v>446</v>
      </c>
      <c r="Q5" s="289" t="s">
        <v>447</v>
      </c>
      <c r="R5" s="302" t="s">
        <v>461</v>
      </c>
      <c r="S5" s="302" t="s">
        <v>462</v>
      </c>
      <c r="T5" s="291" t="s">
        <v>450</v>
      </c>
    </row>
    <row r="6" spans="1:20" ht="26.25">
      <c r="A6" s="372" t="s">
        <v>773</v>
      </c>
      <c r="B6" s="373" t="s">
        <v>774</v>
      </c>
      <c r="C6" s="373" t="s">
        <v>779</v>
      </c>
      <c r="D6" s="374">
        <v>4.55</v>
      </c>
      <c r="E6" s="314" t="s">
        <v>467</v>
      </c>
      <c r="F6" s="270">
        <f t="shared" si="0"/>
        <v>300</v>
      </c>
      <c r="G6" s="296">
        <f t="shared" si="1"/>
        <v>1.5166666666666667E-2</v>
      </c>
      <c r="I6" s="375" t="s">
        <v>780</v>
      </c>
      <c r="J6" s="376">
        <v>3.61</v>
      </c>
      <c r="K6" s="270" t="s">
        <v>776</v>
      </c>
      <c r="L6" s="269">
        <f t="shared" si="2"/>
        <v>100000</v>
      </c>
      <c r="M6" s="269">
        <f t="shared" si="3"/>
        <v>3.6099999999999997E-5</v>
      </c>
      <c r="O6" s="297" t="s">
        <v>575</v>
      </c>
      <c r="P6" s="298">
        <v>297</v>
      </c>
      <c r="Q6" s="270">
        <v>380</v>
      </c>
      <c r="R6" s="270">
        <v>16</v>
      </c>
      <c r="S6" s="270">
        <v>188.76</v>
      </c>
      <c r="T6" s="300">
        <f>(P6*R6)/(Q6*S6)</f>
        <v>6.6249539933750462E-2</v>
      </c>
    </row>
    <row r="7" spans="1:20" ht="26.25">
      <c r="A7" s="372" t="s">
        <v>773</v>
      </c>
      <c r="B7" s="373" t="s">
        <v>774</v>
      </c>
      <c r="C7" s="373" t="s">
        <v>781</v>
      </c>
      <c r="D7" s="374">
        <v>5.9</v>
      </c>
      <c r="E7" s="314" t="s">
        <v>467</v>
      </c>
      <c r="F7" s="270">
        <f t="shared" si="0"/>
        <v>300</v>
      </c>
      <c r="G7" s="296">
        <f t="shared" si="1"/>
        <v>1.9666666666666669E-2</v>
      </c>
      <c r="I7" s="294" t="s">
        <v>782</v>
      </c>
      <c r="J7" s="377">
        <v>6.39</v>
      </c>
      <c r="K7" s="270" t="s">
        <v>475</v>
      </c>
      <c r="L7" s="269">
        <f t="shared" si="2"/>
        <v>9000</v>
      </c>
      <c r="M7" s="269">
        <f t="shared" si="3"/>
        <v>7.0999999999999991E-4</v>
      </c>
      <c r="O7" s="303" t="s">
        <v>15</v>
      </c>
      <c r="P7" s="304">
        <f>P4+P6</f>
        <v>594</v>
      </c>
      <c r="Q7" s="304"/>
      <c r="R7" s="304"/>
      <c r="S7" s="304"/>
      <c r="T7" s="305">
        <f>T6+T4</f>
        <v>7.1770139950479553E-2</v>
      </c>
    </row>
    <row r="8" spans="1:20" ht="30">
      <c r="A8" s="372" t="s">
        <v>773</v>
      </c>
      <c r="B8" s="373" t="s">
        <v>774</v>
      </c>
      <c r="C8" s="373" t="s">
        <v>783</v>
      </c>
      <c r="D8" s="374">
        <v>8.6999999999999993</v>
      </c>
      <c r="E8" s="314" t="s">
        <v>454</v>
      </c>
      <c r="F8" s="270">
        <f t="shared" si="0"/>
        <v>1200</v>
      </c>
      <c r="G8" s="296">
        <f t="shared" si="1"/>
        <v>7.2499999999999995E-3</v>
      </c>
      <c r="I8" s="375" t="s">
        <v>784</v>
      </c>
      <c r="J8" s="376">
        <v>10</v>
      </c>
      <c r="K8" s="270" t="s">
        <v>776</v>
      </c>
      <c r="L8" s="269">
        <f t="shared" si="2"/>
        <v>100000</v>
      </c>
      <c r="M8" s="269">
        <f t="shared" si="3"/>
        <v>1E-4</v>
      </c>
      <c r="O8" s="354"/>
      <c r="Q8" s="310"/>
      <c r="R8" s="310"/>
      <c r="S8" s="310"/>
      <c r="T8" s="311"/>
    </row>
    <row r="9" spans="1:20" ht="30">
      <c r="A9" s="372" t="s">
        <v>773</v>
      </c>
      <c r="B9" s="373" t="s">
        <v>774</v>
      </c>
      <c r="C9" s="373" t="s">
        <v>773</v>
      </c>
      <c r="D9" s="374">
        <v>163.6</v>
      </c>
      <c r="E9" s="314" t="s">
        <v>454</v>
      </c>
      <c r="F9" s="270">
        <f t="shared" si="0"/>
        <v>1200</v>
      </c>
      <c r="G9" s="296">
        <f t="shared" si="1"/>
        <v>0.13633333333333333</v>
      </c>
      <c r="I9" s="375" t="s">
        <v>785</v>
      </c>
      <c r="J9" s="376">
        <v>48.5</v>
      </c>
      <c r="K9" s="270" t="s">
        <v>776</v>
      </c>
      <c r="L9" s="269">
        <f t="shared" si="2"/>
        <v>100000</v>
      </c>
      <c r="M9" s="269">
        <f t="shared" si="3"/>
        <v>4.8500000000000003E-4</v>
      </c>
      <c r="O9" s="354"/>
      <c r="Q9" s="310"/>
      <c r="R9" s="310"/>
      <c r="S9" s="310"/>
      <c r="T9" s="311"/>
    </row>
    <row r="10" spans="1:20" ht="75">
      <c r="A10" s="372" t="s">
        <v>773</v>
      </c>
      <c r="B10" s="373" t="s">
        <v>774</v>
      </c>
      <c r="C10" s="373" t="s">
        <v>786</v>
      </c>
      <c r="D10" s="374">
        <v>1.82</v>
      </c>
      <c r="E10" s="314" t="s">
        <v>467</v>
      </c>
      <c r="F10" s="270">
        <f t="shared" si="0"/>
        <v>300</v>
      </c>
      <c r="G10" s="296">
        <f t="shared" si="1"/>
        <v>6.0666666666666673E-3</v>
      </c>
      <c r="I10" s="375" t="s">
        <v>787</v>
      </c>
      <c r="J10" s="376">
        <v>6631.08</v>
      </c>
      <c r="K10" s="270" t="s">
        <v>475</v>
      </c>
      <c r="L10" s="269">
        <f t="shared" si="2"/>
        <v>9000</v>
      </c>
      <c r="M10" s="269">
        <f t="shared" si="3"/>
        <v>0.7367866666666667</v>
      </c>
    </row>
    <row r="11" spans="1:20" ht="30">
      <c r="A11" s="372" t="s">
        <v>773</v>
      </c>
      <c r="B11" s="373" t="s">
        <v>774</v>
      </c>
      <c r="C11" s="373" t="s">
        <v>788</v>
      </c>
      <c r="D11" s="374">
        <v>1.5</v>
      </c>
      <c r="E11" s="314" t="s">
        <v>454</v>
      </c>
      <c r="F11" s="270">
        <f t="shared" si="0"/>
        <v>1200</v>
      </c>
      <c r="G11" s="296">
        <f t="shared" si="1"/>
        <v>1.25E-3</v>
      </c>
      <c r="I11" s="375" t="s">
        <v>789</v>
      </c>
      <c r="J11" s="376">
        <v>6937.2</v>
      </c>
      <c r="K11" s="270" t="s">
        <v>776</v>
      </c>
      <c r="L11" s="269">
        <f t="shared" si="2"/>
        <v>100000</v>
      </c>
      <c r="M11" s="269">
        <f t="shared" si="3"/>
        <v>6.9372000000000003E-2</v>
      </c>
      <c r="O11" s="582" t="s">
        <v>54</v>
      </c>
      <c r="P11" s="549"/>
      <c r="Q11" s="549"/>
      <c r="R11" s="549"/>
      <c r="S11" s="549"/>
      <c r="T11" s="583"/>
    </row>
    <row r="12" spans="1:20">
      <c r="A12" s="372" t="s">
        <v>766</v>
      </c>
      <c r="B12" s="373" t="s">
        <v>774</v>
      </c>
      <c r="C12" s="373" t="s">
        <v>766</v>
      </c>
      <c r="D12" s="374">
        <v>112.03</v>
      </c>
      <c r="E12" s="314" t="s">
        <v>454</v>
      </c>
      <c r="F12" s="270">
        <f t="shared" si="0"/>
        <v>1200</v>
      </c>
      <c r="G12" s="296">
        <f t="shared" si="1"/>
        <v>9.3358333333333335E-2</v>
      </c>
      <c r="I12" s="307" t="s">
        <v>15</v>
      </c>
      <c r="J12" s="378">
        <f>SUM(J4:J11)</f>
        <v>14112.56</v>
      </c>
      <c r="K12" s="308"/>
      <c r="L12" s="308"/>
      <c r="M12" s="308">
        <f>SUM(M4:M11)</f>
        <v>0.85953116666666673</v>
      </c>
      <c r="O12" s="587" t="s">
        <v>62</v>
      </c>
      <c r="P12" s="434"/>
      <c r="Q12" s="434"/>
      <c r="R12" s="434"/>
      <c r="S12" s="434"/>
      <c r="T12" s="588"/>
    </row>
    <row r="13" spans="1:20" ht="30">
      <c r="A13" s="372" t="s">
        <v>766</v>
      </c>
      <c r="B13" s="373" t="s">
        <v>774</v>
      </c>
      <c r="C13" s="373" t="s">
        <v>783</v>
      </c>
      <c r="D13" s="374">
        <v>3.37</v>
      </c>
      <c r="E13" s="314" t="s">
        <v>454</v>
      </c>
      <c r="F13" s="270">
        <f t="shared" si="0"/>
        <v>1200</v>
      </c>
      <c r="G13" s="296">
        <f t="shared" si="1"/>
        <v>2.8083333333333333E-3</v>
      </c>
      <c r="I13" s="379"/>
      <c r="J13" s="380"/>
      <c r="K13" s="94"/>
      <c r="L13" s="319"/>
      <c r="M13" s="319"/>
      <c r="O13" s="288" t="s">
        <v>2</v>
      </c>
      <c r="P13" s="289" t="s">
        <v>446</v>
      </c>
      <c r="Q13" s="289" t="s">
        <v>447</v>
      </c>
      <c r="R13" s="302" t="s">
        <v>461</v>
      </c>
      <c r="S13" s="302" t="s">
        <v>462</v>
      </c>
      <c r="T13" s="291" t="s">
        <v>478</v>
      </c>
    </row>
    <row r="14" spans="1:20" ht="12.75">
      <c r="A14" s="372" t="s">
        <v>766</v>
      </c>
      <c r="B14" s="373" t="s">
        <v>790</v>
      </c>
      <c r="C14" s="373" t="s">
        <v>791</v>
      </c>
      <c r="D14" s="374">
        <v>72.02</v>
      </c>
      <c r="E14" s="314" t="s">
        <v>454</v>
      </c>
      <c r="F14" s="270">
        <f t="shared" si="0"/>
        <v>1200</v>
      </c>
      <c r="G14" s="296">
        <f t="shared" si="1"/>
        <v>6.0016666666666663E-2</v>
      </c>
      <c r="I14" s="379"/>
      <c r="J14" s="380"/>
      <c r="K14" s="94"/>
      <c r="L14" s="319"/>
      <c r="M14" s="319"/>
      <c r="O14" s="381" t="s">
        <v>47</v>
      </c>
      <c r="P14" s="298">
        <v>0</v>
      </c>
      <c r="Q14" s="270">
        <v>160</v>
      </c>
      <c r="R14" s="270">
        <v>8</v>
      </c>
      <c r="S14" s="270">
        <v>1132.5999999999999</v>
      </c>
      <c r="T14" s="300">
        <f t="shared" ref="T14:T15" si="4">(P14*R14)/(Q14*S14)</f>
        <v>0</v>
      </c>
    </row>
    <row r="15" spans="1:20" ht="25.5">
      <c r="A15" s="372" t="s">
        <v>792</v>
      </c>
      <c r="B15" s="373" t="s">
        <v>774</v>
      </c>
      <c r="C15" s="373" t="s">
        <v>579</v>
      </c>
      <c r="D15" s="374">
        <v>399.85</v>
      </c>
      <c r="E15" s="314" t="s">
        <v>573</v>
      </c>
      <c r="F15" s="270">
        <f t="shared" si="0"/>
        <v>1500</v>
      </c>
      <c r="G15" s="296">
        <f t="shared" si="1"/>
        <v>0.26656666666666667</v>
      </c>
      <c r="I15" s="336"/>
      <c r="J15" s="382"/>
      <c r="K15" s="337"/>
      <c r="L15" s="337"/>
      <c r="M15" s="337"/>
      <c r="O15" s="297" t="s">
        <v>793</v>
      </c>
      <c r="P15" s="298">
        <v>0</v>
      </c>
      <c r="Q15" s="270">
        <v>160</v>
      </c>
      <c r="R15" s="270">
        <v>8</v>
      </c>
      <c r="S15" s="270">
        <v>1132.5999999999999</v>
      </c>
      <c r="T15" s="300">
        <f t="shared" si="4"/>
        <v>0</v>
      </c>
    </row>
    <row r="16" spans="1:20" ht="25.5">
      <c r="A16" s="372" t="s">
        <v>794</v>
      </c>
      <c r="B16" s="373" t="s">
        <v>774</v>
      </c>
      <c r="C16" s="373" t="s">
        <v>795</v>
      </c>
      <c r="D16" s="374">
        <v>6.7</v>
      </c>
      <c r="E16" s="314" t="s">
        <v>573</v>
      </c>
      <c r="F16" s="270">
        <f t="shared" si="0"/>
        <v>1500</v>
      </c>
      <c r="G16" s="296">
        <f t="shared" si="1"/>
        <v>4.4666666666666665E-3</v>
      </c>
      <c r="I16" s="361"/>
      <c r="J16" s="315"/>
      <c r="K16" s="310"/>
      <c r="L16" s="311"/>
      <c r="M16" s="311"/>
      <c r="O16" s="303" t="s">
        <v>15</v>
      </c>
      <c r="P16" s="304">
        <f>SUM(P14:P15)</f>
        <v>0</v>
      </c>
      <c r="Q16" s="304"/>
      <c r="R16" s="304"/>
      <c r="S16" s="304"/>
      <c r="T16" s="305">
        <f>SUM(T14:T15)</f>
        <v>0</v>
      </c>
    </row>
    <row r="17" spans="1:20" ht="26.25">
      <c r="A17" s="372" t="s">
        <v>794</v>
      </c>
      <c r="B17" s="373" t="s">
        <v>774</v>
      </c>
      <c r="C17" s="373" t="s">
        <v>655</v>
      </c>
      <c r="D17" s="374">
        <v>84.05</v>
      </c>
      <c r="E17" s="314" t="s">
        <v>573</v>
      </c>
      <c r="F17" s="270">
        <f t="shared" si="0"/>
        <v>1500</v>
      </c>
      <c r="G17" s="296">
        <f t="shared" si="1"/>
        <v>5.6033333333333331E-2</v>
      </c>
      <c r="I17" s="361"/>
      <c r="J17" s="315"/>
      <c r="K17" s="310"/>
      <c r="L17" s="311"/>
      <c r="M17" s="311"/>
      <c r="T17" s="316"/>
    </row>
    <row r="18" spans="1:20">
      <c r="A18" s="372" t="s">
        <v>794</v>
      </c>
      <c r="B18" s="373" t="s">
        <v>774</v>
      </c>
      <c r="C18" s="373" t="s">
        <v>796</v>
      </c>
      <c r="D18" s="374">
        <v>43.5</v>
      </c>
      <c r="E18" s="314" t="s">
        <v>454</v>
      </c>
      <c r="F18" s="270">
        <f t="shared" si="0"/>
        <v>1200</v>
      </c>
      <c r="G18" s="296">
        <f t="shared" si="1"/>
        <v>3.6249999999999998E-2</v>
      </c>
      <c r="I18" s="361"/>
      <c r="J18" s="315"/>
      <c r="K18" s="310"/>
      <c r="L18" s="311"/>
      <c r="M18" s="311"/>
      <c r="O18" s="567" t="s">
        <v>54</v>
      </c>
      <c r="P18" s="568"/>
      <c r="Q18" s="568"/>
      <c r="R18" s="568"/>
      <c r="S18" s="569"/>
      <c r="T18" s="317"/>
    </row>
    <row r="19" spans="1:20" ht="12.75">
      <c r="A19" s="372" t="s">
        <v>794</v>
      </c>
      <c r="B19" s="373" t="s">
        <v>774</v>
      </c>
      <c r="C19" s="373" t="s">
        <v>797</v>
      </c>
      <c r="D19" s="374">
        <v>14.33</v>
      </c>
      <c r="E19" s="314" t="s">
        <v>454</v>
      </c>
      <c r="F19" s="270">
        <f t="shared" si="0"/>
        <v>1200</v>
      </c>
      <c r="G19" s="296">
        <f t="shared" si="1"/>
        <v>1.1941666666666666E-2</v>
      </c>
      <c r="I19" s="361"/>
      <c r="J19" s="315"/>
      <c r="K19" s="311"/>
      <c r="L19" s="311"/>
      <c r="M19" s="311"/>
      <c r="O19" s="594" t="s">
        <v>63</v>
      </c>
      <c r="P19" s="434"/>
      <c r="Q19" s="434"/>
      <c r="R19" s="434"/>
      <c r="S19" s="585"/>
      <c r="T19" s="319"/>
    </row>
    <row r="20" spans="1:20" ht="25.5">
      <c r="A20" s="372" t="s">
        <v>794</v>
      </c>
      <c r="B20" s="373" t="s">
        <v>774</v>
      </c>
      <c r="C20" s="373" t="s">
        <v>798</v>
      </c>
      <c r="D20" s="374">
        <v>6.1</v>
      </c>
      <c r="E20" s="314" t="s">
        <v>454</v>
      </c>
      <c r="F20" s="270">
        <f t="shared" si="0"/>
        <v>1200</v>
      </c>
      <c r="G20" s="296">
        <f t="shared" si="1"/>
        <v>5.0833333333333329E-3</v>
      </c>
      <c r="I20" s="361"/>
      <c r="J20" s="315"/>
      <c r="K20" s="311"/>
      <c r="L20" s="311"/>
      <c r="M20" s="311"/>
      <c r="O20" s="320" t="s">
        <v>445</v>
      </c>
      <c r="P20" s="321" t="s">
        <v>441</v>
      </c>
      <c r="Q20" s="282" t="s">
        <v>442</v>
      </c>
      <c r="R20" s="282" t="s">
        <v>443</v>
      </c>
      <c r="S20" s="283" t="s">
        <v>444</v>
      </c>
      <c r="T20" s="67"/>
    </row>
    <row r="21" spans="1:20" ht="25.5">
      <c r="A21" s="372" t="s">
        <v>794</v>
      </c>
      <c r="B21" s="373" t="s">
        <v>774</v>
      </c>
      <c r="C21" s="373" t="s">
        <v>799</v>
      </c>
      <c r="D21" s="374">
        <v>14.57</v>
      </c>
      <c r="E21" s="314" t="s">
        <v>454</v>
      </c>
      <c r="F21" s="270">
        <f t="shared" si="0"/>
        <v>1200</v>
      </c>
      <c r="G21" s="296">
        <f t="shared" si="1"/>
        <v>1.2141666666666667E-2</v>
      </c>
      <c r="I21" s="361"/>
      <c r="J21" s="315"/>
      <c r="K21" s="311"/>
      <c r="L21" s="311"/>
      <c r="M21" s="311"/>
      <c r="O21" s="322"/>
      <c r="P21" s="323">
        <v>0</v>
      </c>
      <c r="Q21" s="324" t="s">
        <v>48</v>
      </c>
      <c r="R21" s="82">
        <v>450</v>
      </c>
      <c r="S21" s="325">
        <f>P21/R21</f>
        <v>0</v>
      </c>
    </row>
    <row r="22" spans="1:20" ht="25.5">
      <c r="A22" s="372" t="s">
        <v>794</v>
      </c>
      <c r="B22" s="373" t="s">
        <v>774</v>
      </c>
      <c r="C22" s="373" t="s">
        <v>800</v>
      </c>
      <c r="D22" s="374">
        <v>14.57</v>
      </c>
      <c r="E22" s="314" t="s">
        <v>454</v>
      </c>
      <c r="F22" s="270">
        <f t="shared" si="0"/>
        <v>1200</v>
      </c>
      <c r="G22" s="296">
        <f t="shared" si="1"/>
        <v>1.2141666666666667E-2</v>
      </c>
      <c r="I22" s="361"/>
      <c r="J22" s="315"/>
      <c r="K22" s="311"/>
      <c r="L22" s="311"/>
      <c r="M22" s="311"/>
    </row>
    <row r="23" spans="1:20" ht="12.75">
      <c r="A23" s="372" t="s">
        <v>794</v>
      </c>
      <c r="B23" s="373" t="s">
        <v>774</v>
      </c>
      <c r="C23" s="373" t="s">
        <v>801</v>
      </c>
      <c r="D23" s="374">
        <v>16.93</v>
      </c>
      <c r="E23" s="314" t="s">
        <v>454</v>
      </c>
      <c r="F23" s="270">
        <f t="shared" si="0"/>
        <v>1200</v>
      </c>
      <c r="G23" s="296">
        <f t="shared" si="1"/>
        <v>1.4108333333333334E-2</v>
      </c>
      <c r="I23" s="361"/>
      <c r="J23" s="315"/>
      <c r="K23" s="311"/>
      <c r="L23" s="311"/>
      <c r="M23" s="311"/>
    </row>
    <row r="24" spans="1:20" ht="12.75">
      <c r="A24" s="372" t="s">
        <v>794</v>
      </c>
      <c r="B24" s="373" t="s">
        <v>774</v>
      </c>
      <c r="C24" s="373" t="s">
        <v>802</v>
      </c>
      <c r="D24" s="374">
        <v>22.08</v>
      </c>
      <c r="E24" s="314" t="s">
        <v>454</v>
      </c>
      <c r="F24" s="270">
        <f t="shared" si="0"/>
        <v>1200</v>
      </c>
      <c r="G24" s="296">
        <f t="shared" si="1"/>
        <v>1.84E-2</v>
      </c>
      <c r="I24" s="361"/>
      <c r="J24" s="315"/>
      <c r="K24" s="311"/>
      <c r="L24" s="311"/>
      <c r="M24" s="311"/>
      <c r="O24" s="567" t="s">
        <v>54</v>
      </c>
      <c r="P24" s="568"/>
      <c r="Q24" s="568"/>
      <c r="R24" s="568"/>
      <c r="S24" s="568"/>
      <c r="T24" s="569"/>
    </row>
    <row r="25" spans="1:20" ht="25.5">
      <c r="A25" s="372" t="s">
        <v>794</v>
      </c>
      <c r="B25" s="373" t="s">
        <v>774</v>
      </c>
      <c r="C25" s="373" t="s">
        <v>655</v>
      </c>
      <c r="D25" s="374">
        <v>7.75</v>
      </c>
      <c r="E25" s="314" t="s">
        <v>573</v>
      </c>
      <c r="F25" s="270">
        <f t="shared" si="0"/>
        <v>1500</v>
      </c>
      <c r="G25" s="296">
        <f t="shared" si="1"/>
        <v>5.1666666666666666E-3</v>
      </c>
      <c r="I25" s="361"/>
      <c r="J25" s="315"/>
      <c r="K25" s="311"/>
      <c r="L25" s="311"/>
      <c r="M25" s="311"/>
      <c r="O25" s="559" t="s">
        <v>17</v>
      </c>
      <c r="P25" s="570" t="s">
        <v>2</v>
      </c>
      <c r="Q25" s="605" t="s">
        <v>435</v>
      </c>
      <c r="R25" s="572" t="s">
        <v>18</v>
      </c>
      <c r="S25" s="605" t="s">
        <v>21</v>
      </c>
      <c r="T25" s="607" t="s">
        <v>22</v>
      </c>
    </row>
    <row r="26" spans="1:20" ht="25.5">
      <c r="A26" s="372" t="s">
        <v>794</v>
      </c>
      <c r="B26" s="373" t="s">
        <v>774</v>
      </c>
      <c r="C26" s="373" t="s">
        <v>803</v>
      </c>
      <c r="D26" s="374">
        <v>22.08</v>
      </c>
      <c r="E26" s="314" t="s">
        <v>454</v>
      </c>
      <c r="F26" s="270">
        <f t="shared" si="0"/>
        <v>1200</v>
      </c>
      <c r="G26" s="296">
        <f t="shared" si="1"/>
        <v>1.84E-2</v>
      </c>
      <c r="I26" s="361"/>
      <c r="J26" s="315"/>
      <c r="K26" s="311"/>
      <c r="L26" s="311"/>
      <c r="M26" s="311"/>
      <c r="O26" s="524"/>
      <c r="P26" s="437"/>
      <c r="Q26" s="513"/>
      <c r="R26" s="437"/>
      <c r="S26" s="513"/>
      <c r="T26" s="526"/>
    </row>
    <row r="27" spans="1:20" ht="12.75">
      <c r="A27" s="372" t="s">
        <v>794</v>
      </c>
      <c r="B27" s="373" t="s">
        <v>774</v>
      </c>
      <c r="C27" s="373" t="s">
        <v>788</v>
      </c>
      <c r="D27" s="374">
        <v>3.46</v>
      </c>
      <c r="E27" s="314" t="s">
        <v>454</v>
      </c>
      <c r="F27" s="270">
        <f t="shared" si="0"/>
        <v>1200</v>
      </c>
      <c r="G27" s="296">
        <f t="shared" si="1"/>
        <v>2.8833333333333332E-3</v>
      </c>
      <c r="I27" s="361"/>
      <c r="J27" s="315"/>
      <c r="K27" s="311"/>
      <c r="L27" s="311"/>
      <c r="M27" s="311"/>
      <c r="O27" s="525"/>
      <c r="P27" s="438"/>
      <c r="Q27" s="431"/>
      <c r="R27" s="438"/>
      <c r="S27" s="431"/>
      <c r="T27" s="527"/>
    </row>
    <row r="28" spans="1:20" ht="25.5">
      <c r="A28" s="372" t="s">
        <v>794</v>
      </c>
      <c r="B28" s="373" t="s">
        <v>774</v>
      </c>
      <c r="C28" s="373" t="s">
        <v>804</v>
      </c>
      <c r="D28" s="374">
        <v>35.51</v>
      </c>
      <c r="E28" s="314" t="s">
        <v>454</v>
      </c>
      <c r="F28" s="270">
        <f t="shared" si="0"/>
        <v>1200</v>
      </c>
      <c r="G28" s="296">
        <f t="shared" si="1"/>
        <v>2.9591666666666665E-2</v>
      </c>
      <c r="I28" s="361"/>
      <c r="J28" s="315"/>
      <c r="K28" s="311"/>
      <c r="L28" s="311"/>
      <c r="M28" s="311"/>
      <c r="O28" s="560" t="s">
        <v>25</v>
      </c>
      <c r="P28" s="265" t="s">
        <v>604</v>
      </c>
      <c r="Q28" s="266">
        <f>SUMIF(E4:E121,"Pisos acarpetados",D4:D121)</f>
        <v>0</v>
      </c>
      <c r="R28" s="267">
        <v>1200</v>
      </c>
      <c r="S28" s="606">
        <f>SUM(Q28:Q34)</f>
        <v>5983.3000000000011</v>
      </c>
      <c r="T28" s="328">
        <f t="shared" ref="T28:T40" si="5">Q28/R28</f>
        <v>0</v>
      </c>
    </row>
    <row r="29" spans="1:20" ht="25.5">
      <c r="A29" s="372" t="s">
        <v>794</v>
      </c>
      <c r="B29" s="373" t="s">
        <v>774</v>
      </c>
      <c r="C29" s="383" t="s">
        <v>805</v>
      </c>
      <c r="D29" s="374">
        <v>60.62</v>
      </c>
      <c r="E29" s="314" t="s">
        <v>454</v>
      </c>
      <c r="F29" s="270">
        <f t="shared" si="0"/>
        <v>1200</v>
      </c>
      <c r="G29" s="296">
        <f t="shared" si="1"/>
        <v>5.0516666666666661E-2</v>
      </c>
      <c r="I29" s="361"/>
      <c r="J29" s="315"/>
      <c r="K29" s="311"/>
      <c r="L29" s="311"/>
      <c r="M29" s="311"/>
      <c r="O29" s="524"/>
      <c r="P29" s="21" t="s">
        <v>51</v>
      </c>
      <c r="Q29" s="266">
        <f>SUMIF(E4:E121,"Pisos frios",D4:D121)</f>
        <v>3525.9200000000005</v>
      </c>
      <c r="R29" s="22">
        <v>1200</v>
      </c>
      <c r="S29" s="437"/>
      <c r="T29" s="328">
        <f t="shared" si="5"/>
        <v>2.9382666666666672</v>
      </c>
    </row>
    <row r="30" spans="1:20" ht="25.5">
      <c r="A30" s="372" t="s">
        <v>794</v>
      </c>
      <c r="B30" s="373" t="s">
        <v>774</v>
      </c>
      <c r="C30" s="373" t="s">
        <v>806</v>
      </c>
      <c r="D30" s="374">
        <v>60.62</v>
      </c>
      <c r="E30" s="314" t="s">
        <v>454</v>
      </c>
      <c r="F30" s="270">
        <f t="shared" si="0"/>
        <v>1200</v>
      </c>
      <c r="G30" s="296">
        <f t="shared" si="1"/>
        <v>5.0516666666666661E-2</v>
      </c>
      <c r="I30" s="361"/>
      <c r="J30" s="315"/>
      <c r="K30" s="311"/>
      <c r="L30" s="311"/>
      <c r="M30" s="311"/>
      <c r="O30" s="524"/>
      <c r="P30" s="21" t="s">
        <v>30</v>
      </c>
      <c r="Q30" s="266">
        <f>SUMIF(E4:E121,"Laboratórios",D4:D121)</f>
        <v>0</v>
      </c>
      <c r="R30" s="27">
        <v>450</v>
      </c>
      <c r="S30" s="437"/>
      <c r="T30" s="328">
        <f t="shared" si="5"/>
        <v>0</v>
      </c>
    </row>
    <row r="31" spans="1:20" ht="25.5">
      <c r="A31" s="372" t="s">
        <v>794</v>
      </c>
      <c r="B31" s="373" t="s">
        <v>774</v>
      </c>
      <c r="C31" s="373" t="s">
        <v>807</v>
      </c>
      <c r="D31" s="374">
        <v>16.100000000000001</v>
      </c>
      <c r="E31" s="314" t="s">
        <v>454</v>
      </c>
      <c r="F31" s="270">
        <f t="shared" si="0"/>
        <v>1200</v>
      </c>
      <c r="G31" s="296">
        <f t="shared" si="1"/>
        <v>1.3416666666666667E-2</v>
      </c>
      <c r="I31" s="361"/>
      <c r="J31" s="315"/>
      <c r="K31" s="311"/>
      <c r="L31" s="311"/>
      <c r="M31" s="311"/>
      <c r="O31" s="524"/>
      <c r="P31" s="21" t="s">
        <v>31</v>
      </c>
      <c r="Q31" s="266">
        <f>SUMIF(E4:E121,"Almoxarifados/galpões",D4:D121)</f>
        <v>269.94</v>
      </c>
      <c r="R31" s="22">
        <v>2500</v>
      </c>
      <c r="S31" s="437"/>
      <c r="T31" s="328">
        <f t="shared" si="5"/>
        <v>0.107976</v>
      </c>
    </row>
    <row r="32" spans="1:20" ht="25.5">
      <c r="A32" s="372" t="s">
        <v>794</v>
      </c>
      <c r="B32" s="373" t="s">
        <v>774</v>
      </c>
      <c r="C32" s="373" t="s">
        <v>779</v>
      </c>
      <c r="D32" s="374">
        <v>3.51</v>
      </c>
      <c r="E32" s="314" t="s">
        <v>467</v>
      </c>
      <c r="F32" s="270">
        <f t="shared" si="0"/>
        <v>300</v>
      </c>
      <c r="G32" s="296">
        <f t="shared" si="1"/>
        <v>1.1699999999999999E-2</v>
      </c>
      <c r="I32" s="361"/>
      <c r="J32" s="315"/>
      <c r="K32" s="311"/>
      <c r="L32" s="311"/>
      <c r="M32" s="311"/>
      <c r="O32" s="524"/>
      <c r="P32" s="21" t="s">
        <v>32</v>
      </c>
      <c r="Q32" s="266">
        <f>SUMIF(E4:E121,"Oficinas",D4:D121)</f>
        <v>0</v>
      </c>
      <c r="R32" s="22">
        <v>1800</v>
      </c>
      <c r="S32" s="437"/>
      <c r="T32" s="328">
        <f t="shared" si="5"/>
        <v>0</v>
      </c>
    </row>
    <row r="33" spans="1:20" ht="25.5">
      <c r="A33" s="372" t="s">
        <v>794</v>
      </c>
      <c r="B33" s="373" t="s">
        <v>774</v>
      </c>
      <c r="C33" s="373" t="s">
        <v>781</v>
      </c>
      <c r="D33" s="374">
        <v>4.3899999999999997</v>
      </c>
      <c r="E33" s="314" t="s">
        <v>467</v>
      </c>
      <c r="F33" s="270">
        <f t="shared" si="0"/>
        <v>300</v>
      </c>
      <c r="G33" s="296">
        <f t="shared" si="1"/>
        <v>1.4633333333333332E-2</v>
      </c>
      <c r="I33" s="361"/>
      <c r="J33" s="315"/>
      <c r="K33" s="311"/>
      <c r="L33" s="311"/>
      <c r="M33" s="311"/>
      <c r="O33" s="524"/>
      <c r="P33" s="21" t="s">
        <v>33</v>
      </c>
      <c r="Q33" s="266">
        <f>SUMIF(E4:E121,"Áreas com espaços livres - saguão hall e salão",D4:D121)</f>
        <v>1899.21</v>
      </c>
      <c r="R33" s="22">
        <v>1500</v>
      </c>
      <c r="S33" s="437"/>
      <c r="T33" s="328">
        <f t="shared" si="5"/>
        <v>1.26614</v>
      </c>
    </row>
    <row r="34" spans="1:20" ht="25.5">
      <c r="A34" s="372" t="s">
        <v>794</v>
      </c>
      <c r="B34" s="373" t="s">
        <v>774</v>
      </c>
      <c r="C34" s="373" t="s">
        <v>777</v>
      </c>
      <c r="D34" s="374">
        <v>4.66</v>
      </c>
      <c r="E34" s="314" t="s">
        <v>467</v>
      </c>
      <c r="F34" s="270">
        <f t="shared" si="0"/>
        <v>300</v>
      </c>
      <c r="G34" s="296">
        <f t="shared" si="1"/>
        <v>1.5533333333333333E-2</v>
      </c>
      <c r="I34" s="309"/>
      <c r="J34" s="315"/>
      <c r="K34" s="311"/>
      <c r="L34" s="311"/>
      <c r="M34" s="311"/>
      <c r="O34" s="525"/>
      <c r="P34" s="21" t="s">
        <v>53</v>
      </c>
      <c r="Q34" s="266">
        <f>SUMIF(E4:E121,"Banheiros",D4:D121)</f>
        <v>288.23</v>
      </c>
      <c r="R34" s="27">
        <v>300</v>
      </c>
      <c r="S34" s="438"/>
      <c r="T34" s="328">
        <f t="shared" si="5"/>
        <v>0.96076666666666677</v>
      </c>
    </row>
    <row r="35" spans="1:20" ht="25.5">
      <c r="A35" s="372" t="s">
        <v>794</v>
      </c>
      <c r="B35" s="373" t="s">
        <v>774</v>
      </c>
      <c r="C35" s="373" t="s">
        <v>808</v>
      </c>
      <c r="D35" s="374">
        <v>60.62</v>
      </c>
      <c r="E35" s="314" t="s">
        <v>454</v>
      </c>
      <c r="F35" s="270">
        <f t="shared" si="0"/>
        <v>1200</v>
      </c>
      <c r="G35" s="296">
        <f t="shared" si="1"/>
        <v>5.0516666666666661E-2</v>
      </c>
      <c r="I35" s="309"/>
      <c r="J35" s="315"/>
      <c r="K35" s="311"/>
      <c r="L35" s="311"/>
      <c r="M35" s="311"/>
      <c r="O35" s="562" t="s">
        <v>36</v>
      </c>
      <c r="P35" s="21" t="s">
        <v>37</v>
      </c>
      <c r="Q35" s="24">
        <f>SUMIF(K4:K63,"Pisos pavimentados adjacentes/contíguos às edificações",J4:J63)</f>
        <v>0</v>
      </c>
      <c r="R35" s="22">
        <v>2700</v>
      </c>
      <c r="S35" s="598">
        <f>SUM(Q35:Q40)</f>
        <v>14112.56</v>
      </c>
      <c r="T35" s="328">
        <f t="shared" si="5"/>
        <v>0</v>
      </c>
    </row>
    <row r="36" spans="1:20" ht="25.5">
      <c r="A36" s="372" t="s">
        <v>794</v>
      </c>
      <c r="B36" s="373" t="s">
        <v>774</v>
      </c>
      <c r="C36" s="373" t="s">
        <v>809</v>
      </c>
      <c r="D36" s="374">
        <v>16.09</v>
      </c>
      <c r="E36" s="314" t="s">
        <v>454</v>
      </c>
      <c r="F36" s="270">
        <f t="shared" si="0"/>
        <v>1200</v>
      </c>
      <c r="G36" s="296">
        <f t="shared" si="1"/>
        <v>1.3408333333333333E-2</v>
      </c>
      <c r="I36" s="309"/>
      <c r="J36" s="315"/>
      <c r="K36" s="311"/>
      <c r="L36" s="311"/>
      <c r="M36" s="311"/>
      <c r="O36" s="524"/>
      <c r="P36" s="21" t="s">
        <v>38</v>
      </c>
      <c r="Q36" s="24">
        <f>SUMIF(K4:K63,"Varrição de passeios e arruamentos",J4:J63)</f>
        <v>7105.11</v>
      </c>
      <c r="R36" s="22">
        <v>9000</v>
      </c>
      <c r="S36" s="437"/>
      <c r="T36" s="328">
        <f t="shared" si="5"/>
        <v>0.78945666666666658</v>
      </c>
    </row>
    <row r="37" spans="1:20" ht="25.5">
      <c r="A37" s="372" t="s">
        <v>794</v>
      </c>
      <c r="B37" s="373" t="s">
        <v>774</v>
      </c>
      <c r="C37" s="373" t="s">
        <v>810</v>
      </c>
      <c r="D37" s="374">
        <v>13.05</v>
      </c>
      <c r="E37" s="314" t="s">
        <v>454</v>
      </c>
      <c r="F37" s="270">
        <f t="shared" si="0"/>
        <v>1200</v>
      </c>
      <c r="G37" s="296">
        <f t="shared" si="1"/>
        <v>1.0875000000000001E-2</v>
      </c>
      <c r="I37" s="309"/>
      <c r="J37" s="315"/>
      <c r="K37" s="311"/>
      <c r="L37" s="311"/>
      <c r="M37" s="311"/>
      <c r="O37" s="524"/>
      <c r="P37" s="21" t="s">
        <v>39</v>
      </c>
      <c r="Q37" s="24">
        <f>SUMIF(K4:K63,"Pátios e áreas verdes com alta frequência",J4:J63)</f>
        <v>0</v>
      </c>
      <c r="R37" s="22">
        <v>2700</v>
      </c>
      <c r="S37" s="437"/>
      <c r="T37" s="328">
        <f t="shared" si="5"/>
        <v>0</v>
      </c>
    </row>
    <row r="38" spans="1:20" ht="12.75">
      <c r="A38" s="372" t="s">
        <v>794</v>
      </c>
      <c r="B38" s="373" t="s">
        <v>774</v>
      </c>
      <c r="C38" s="373" t="s">
        <v>811</v>
      </c>
      <c r="D38" s="374">
        <v>45.28</v>
      </c>
      <c r="E38" s="314" t="s">
        <v>454</v>
      </c>
      <c r="F38" s="270">
        <f t="shared" si="0"/>
        <v>1200</v>
      </c>
      <c r="G38" s="296">
        <f t="shared" si="1"/>
        <v>3.7733333333333334E-2</v>
      </c>
      <c r="I38" s="309"/>
      <c r="J38" s="315"/>
      <c r="K38" s="311"/>
      <c r="L38" s="311"/>
      <c r="M38" s="311"/>
      <c r="O38" s="524"/>
      <c r="P38" s="21" t="s">
        <v>40</v>
      </c>
      <c r="Q38" s="24">
        <f>SUMIF(K4:K63,"Pátios e áreas verdes com média frequência",J4:J63)</f>
        <v>0</v>
      </c>
      <c r="R38" s="22">
        <v>2700</v>
      </c>
      <c r="S38" s="437"/>
      <c r="T38" s="328">
        <f t="shared" si="5"/>
        <v>0</v>
      </c>
    </row>
    <row r="39" spans="1:20" ht="25.5">
      <c r="A39" s="372" t="s">
        <v>794</v>
      </c>
      <c r="B39" s="373" t="s">
        <v>774</v>
      </c>
      <c r="C39" s="373" t="s">
        <v>812</v>
      </c>
      <c r="D39" s="374">
        <v>13</v>
      </c>
      <c r="E39" s="314" t="s">
        <v>454</v>
      </c>
      <c r="F39" s="270">
        <f t="shared" si="0"/>
        <v>1200</v>
      </c>
      <c r="G39" s="296">
        <f t="shared" si="1"/>
        <v>1.0833333333333334E-2</v>
      </c>
      <c r="I39" s="309"/>
      <c r="J39" s="315"/>
      <c r="K39" s="311"/>
      <c r="L39" s="311"/>
      <c r="M39" s="311"/>
      <c r="O39" s="524"/>
      <c r="P39" s="21" t="s">
        <v>41</v>
      </c>
      <c r="Q39" s="24">
        <f>SUMIF(K4:K63,"Pátios e áreas verdes com baixa frequência",J4:J63)</f>
        <v>0</v>
      </c>
      <c r="R39" s="22">
        <v>2700</v>
      </c>
      <c r="S39" s="437"/>
      <c r="T39" s="328">
        <f t="shared" si="5"/>
        <v>0</v>
      </c>
    </row>
    <row r="40" spans="1:20" ht="38.25">
      <c r="A40" s="372" t="s">
        <v>794</v>
      </c>
      <c r="B40" s="373" t="s">
        <v>774</v>
      </c>
      <c r="C40" s="373" t="s">
        <v>813</v>
      </c>
      <c r="D40" s="374">
        <v>60.62</v>
      </c>
      <c r="E40" s="314" t="s">
        <v>454</v>
      </c>
      <c r="F40" s="270">
        <f t="shared" si="0"/>
        <v>1200</v>
      </c>
      <c r="G40" s="296">
        <f t="shared" si="1"/>
        <v>5.0516666666666661E-2</v>
      </c>
      <c r="I40" s="309"/>
      <c r="J40" s="315"/>
      <c r="K40" s="311"/>
      <c r="L40" s="311"/>
      <c r="M40" s="311"/>
      <c r="O40" s="525"/>
      <c r="P40" s="21" t="s">
        <v>42</v>
      </c>
      <c r="Q40" s="24">
        <f>SUMIF(K4:K63,"coleta de detritos em pátios e áreas verdes com frequência diária",J4:J63)</f>
        <v>7007.45</v>
      </c>
      <c r="R40" s="22">
        <v>100000</v>
      </c>
      <c r="S40" s="438"/>
      <c r="T40" s="328">
        <f t="shared" si="5"/>
        <v>7.0074499999999998E-2</v>
      </c>
    </row>
    <row r="41" spans="1:20" ht="12.75">
      <c r="A41" s="372" t="s">
        <v>794</v>
      </c>
      <c r="B41" s="373" t="s">
        <v>774</v>
      </c>
      <c r="C41" s="373" t="s">
        <v>814</v>
      </c>
      <c r="D41" s="374">
        <v>11.96</v>
      </c>
      <c r="E41" s="314" t="s">
        <v>454</v>
      </c>
      <c r="F41" s="270">
        <f t="shared" si="0"/>
        <v>1200</v>
      </c>
      <c r="G41" s="296">
        <f t="shared" si="1"/>
        <v>9.9666666666666671E-3</v>
      </c>
      <c r="I41" s="309"/>
      <c r="J41" s="315"/>
      <c r="K41" s="311"/>
      <c r="L41" s="311"/>
      <c r="M41" s="311"/>
      <c r="O41" s="562" t="s">
        <v>43</v>
      </c>
      <c r="P41" s="21" t="s">
        <v>44</v>
      </c>
      <c r="Q41" s="24">
        <f>P15</f>
        <v>0</v>
      </c>
      <c r="R41" s="22">
        <v>160</v>
      </c>
      <c r="S41" s="598">
        <f>SUM(Q41:Q43)</f>
        <v>594</v>
      </c>
      <c r="T41" s="328">
        <f>T15</f>
        <v>0</v>
      </c>
    </row>
    <row r="42" spans="1:20" ht="25.5">
      <c r="A42" s="372" t="s">
        <v>794</v>
      </c>
      <c r="B42" s="373" t="s">
        <v>774</v>
      </c>
      <c r="C42" s="373" t="s">
        <v>815</v>
      </c>
      <c r="D42" s="374">
        <v>17.18</v>
      </c>
      <c r="E42" s="314" t="s">
        <v>454</v>
      </c>
      <c r="F42" s="270">
        <f t="shared" si="0"/>
        <v>1200</v>
      </c>
      <c r="G42" s="296">
        <f t="shared" si="1"/>
        <v>1.4316666666666667E-2</v>
      </c>
      <c r="I42" s="309"/>
      <c r="J42" s="315"/>
      <c r="K42" s="311"/>
      <c r="L42" s="311"/>
      <c r="M42" s="311"/>
      <c r="O42" s="524"/>
      <c r="P42" s="21" t="s">
        <v>45</v>
      </c>
      <c r="Q42" s="24">
        <f>P4</f>
        <v>297</v>
      </c>
      <c r="R42" s="22">
        <v>380</v>
      </c>
      <c r="S42" s="437"/>
      <c r="T42" s="328">
        <f>T4</f>
        <v>5.5206000167290917E-3</v>
      </c>
    </row>
    <row r="43" spans="1:20" ht="12.75">
      <c r="A43" s="372" t="s">
        <v>794</v>
      </c>
      <c r="B43" s="373" t="s">
        <v>774</v>
      </c>
      <c r="C43" s="373" t="s">
        <v>816</v>
      </c>
      <c r="D43" s="374">
        <v>52.07</v>
      </c>
      <c r="E43" s="314" t="s">
        <v>454</v>
      </c>
      <c r="F43" s="270">
        <f t="shared" si="0"/>
        <v>1200</v>
      </c>
      <c r="G43" s="296">
        <f t="shared" si="1"/>
        <v>4.3391666666666669E-2</v>
      </c>
      <c r="I43" s="309"/>
      <c r="J43" s="315"/>
      <c r="K43" s="311"/>
      <c r="L43" s="311"/>
      <c r="M43" s="311"/>
      <c r="O43" s="525"/>
      <c r="P43" s="21" t="s">
        <v>46</v>
      </c>
      <c r="Q43" s="24">
        <f>P6</f>
        <v>297</v>
      </c>
      <c r="R43" s="22">
        <v>380</v>
      </c>
      <c r="S43" s="438"/>
      <c r="T43" s="328">
        <f>T6</f>
        <v>6.6249539933750462E-2</v>
      </c>
    </row>
    <row r="44" spans="1:20" ht="12.75">
      <c r="A44" s="372" t="s">
        <v>794</v>
      </c>
      <c r="B44" s="373" t="s">
        <v>774</v>
      </c>
      <c r="C44" s="373" t="s">
        <v>817</v>
      </c>
      <c r="D44" s="374">
        <v>7.69</v>
      </c>
      <c r="E44" s="314" t="s">
        <v>454</v>
      </c>
      <c r="F44" s="270">
        <f t="shared" si="0"/>
        <v>1200</v>
      </c>
      <c r="G44" s="296">
        <f t="shared" si="1"/>
        <v>6.4083333333333336E-3</v>
      </c>
      <c r="I44" s="309"/>
      <c r="J44" s="315"/>
      <c r="K44" s="311"/>
      <c r="L44" s="311"/>
      <c r="M44" s="311"/>
      <c r="O44" s="271" t="s">
        <v>47</v>
      </c>
      <c r="P44" s="21" t="s">
        <v>47</v>
      </c>
      <c r="Q44" s="24">
        <f>P14</f>
        <v>0</v>
      </c>
      <c r="R44" s="22">
        <v>160</v>
      </c>
      <c r="S44" s="332">
        <f t="shared" ref="S44:S45" si="6">Q44</f>
        <v>0</v>
      </c>
      <c r="T44" s="328">
        <f>T14</f>
        <v>0</v>
      </c>
    </row>
    <row r="45" spans="1:20" ht="38.25">
      <c r="A45" s="372" t="s">
        <v>794</v>
      </c>
      <c r="B45" s="373" t="s">
        <v>774</v>
      </c>
      <c r="C45" s="373" t="s">
        <v>818</v>
      </c>
      <c r="D45" s="374">
        <v>4.3499999999999996</v>
      </c>
      <c r="E45" s="314" t="s">
        <v>489</v>
      </c>
      <c r="F45" s="270">
        <f t="shared" si="0"/>
        <v>2500</v>
      </c>
      <c r="G45" s="296">
        <f t="shared" si="1"/>
        <v>1.7399999999999998E-3</v>
      </c>
      <c r="I45" s="309"/>
      <c r="J45" s="315"/>
      <c r="K45" s="311"/>
      <c r="L45" s="311"/>
      <c r="M45" s="311"/>
      <c r="O45" s="271" t="s">
        <v>48</v>
      </c>
      <c r="P45" s="21" t="s">
        <v>48</v>
      </c>
      <c r="Q45" s="24">
        <f>P21</f>
        <v>0</v>
      </c>
      <c r="R45" s="22">
        <v>450</v>
      </c>
      <c r="S45" s="332">
        <f t="shared" si="6"/>
        <v>0</v>
      </c>
      <c r="T45" s="328">
        <f>Q45/R45</f>
        <v>0</v>
      </c>
    </row>
    <row r="46" spans="1:20" ht="25.5">
      <c r="A46" s="372" t="s">
        <v>794</v>
      </c>
      <c r="B46" s="373" t="s">
        <v>774</v>
      </c>
      <c r="C46" s="373" t="s">
        <v>779</v>
      </c>
      <c r="D46" s="374">
        <v>4.3499999999999996</v>
      </c>
      <c r="E46" s="314" t="s">
        <v>467</v>
      </c>
      <c r="F46" s="270">
        <f t="shared" si="0"/>
        <v>300</v>
      </c>
      <c r="G46" s="296">
        <f t="shared" si="1"/>
        <v>1.4499999999999999E-2</v>
      </c>
      <c r="I46" s="309"/>
      <c r="J46" s="315"/>
      <c r="K46" s="311"/>
      <c r="L46" s="311"/>
      <c r="M46" s="311"/>
      <c r="O46" s="564" t="s">
        <v>15</v>
      </c>
      <c r="P46" s="565"/>
      <c r="Q46" s="565"/>
      <c r="R46" s="566"/>
      <c r="S46" s="333">
        <f>SUM(S28:S45)</f>
        <v>20689.86</v>
      </c>
      <c r="T46" s="334">
        <f>SUM(T28:T45)-T41</f>
        <v>6.2044506399504797</v>
      </c>
    </row>
    <row r="47" spans="1:20" ht="25.5">
      <c r="A47" s="372" t="s">
        <v>794</v>
      </c>
      <c r="B47" s="373" t="s">
        <v>774</v>
      </c>
      <c r="C47" s="373" t="s">
        <v>781</v>
      </c>
      <c r="D47" s="374">
        <v>14.57</v>
      </c>
      <c r="E47" s="314" t="s">
        <v>467</v>
      </c>
      <c r="F47" s="270">
        <f t="shared" si="0"/>
        <v>300</v>
      </c>
      <c r="G47" s="296">
        <f t="shared" si="1"/>
        <v>4.8566666666666668E-2</v>
      </c>
      <c r="I47" s="309"/>
      <c r="J47" s="315"/>
      <c r="K47" s="311"/>
      <c r="L47" s="311"/>
      <c r="M47" s="311"/>
      <c r="O47" s="63"/>
      <c r="P47" s="68"/>
      <c r="Q47" s="69"/>
      <c r="R47" s="70"/>
      <c r="S47" s="276"/>
      <c r="T47" s="65"/>
    </row>
    <row r="48" spans="1:20" ht="25.5">
      <c r="A48" s="372" t="s">
        <v>794</v>
      </c>
      <c r="B48" s="373" t="s">
        <v>774</v>
      </c>
      <c r="C48" s="373" t="s">
        <v>777</v>
      </c>
      <c r="D48" s="374">
        <v>14.57</v>
      </c>
      <c r="E48" s="314" t="s">
        <v>467</v>
      </c>
      <c r="F48" s="270">
        <f t="shared" si="0"/>
        <v>300</v>
      </c>
      <c r="G48" s="296">
        <f t="shared" si="1"/>
        <v>4.8566666666666668E-2</v>
      </c>
      <c r="I48" s="309"/>
      <c r="J48" s="315"/>
      <c r="K48" s="311"/>
      <c r="L48" s="311"/>
      <c r="M48" s="311"/>
      <c r="O48" s="63"/>
      <c r="P48" s="64"/>
      <c r="Q48" s="65"/>
      <c r="R48" s="278"/>
      <c r="S48" s="278" t="s">
        <v>49</v>
      </c>
      <c r="T48" s="279">
        <f>ROUND(T46,0)</f>
        <v>6</v>
      </c>
    </row>
    <row r="49" spans="1:20">
      <c r="A49" s="372" t="s">
        <v>794</v>
      </c>
      <c r="B49" s="373" t="s">
        <v>790</v>
      </c>
      <c r="C49" s="373" t="s">
        <v>819</v>
      </c>
      <c r="D49" s="374">
        <v>59.7</v>
      </c>
      <c r="E49" s="314" t="s">
        <v>454</v>
      </c>
      <c r="F49" s="270">
        <f t="shared" si="0"/>
        <v>1200</v>
      </c>
      <c r="G49" s="296">
        <f t="shared" si="1"/>
        <v>4.9750000000000003E-2</v>
      </c>
      <c r="I49" s="309"/>
      <c r="J49" s="315"/>
      <c r="K49" s="311"/>
      <c r="L49" s="311"/>
      <c r="M49" s="311"/>
      <c r="O49" s="63"/>
      <c r="P49" s="64"/>
      <c r="Q49" s="65"/>
      <c r="R49" s="278"/>
      <c r="S49" s="278" t="s">
        <v>516</v>
      </c>
      <c r="T49" s="279">
        <f>T44+T41</f>
        <v>0</v>
      </c>
    </row>
    <row r="50" spans="1:20">
      <c r="A50" s="372" t="s">
        <v>794</v>
      </c>
      <c r="B50" s="373" t="s">
        <v>790</v>
      </c>
      <c r="C50" s="373" t="s">
        <v>820</v>
      </c>
      <c r="D50" s="374">
        <v>59.7</v>
      </c>
      <c r="E50" s="314" t="s">
        <v>454</v>
      </c>
      <c r="F50" s="270">
        <f t="shared" si="0"/>
        <v>1200</v>
      </c>
      <c r="G50" s="296">
        <f t="shared" si="1"/>
        <v>4.9750000000000003E-2</v>
      </c>
      <c r="I50" s="309"/>
      <c r="J50" s="315"/>
      <c r="K50" s="311"/>
      <c r="L50" s="311"/>
      <c r="M50" s="311"/>
      <c r="O50" s="63"/>
      <c r="P50" s="64"/>
      <c r="Q50" s="65"/>
      <c r="R50" s="65"/>
      <c r="S50" s="66"/>
      <c r="T50" s="65"/>
    </row>
    <row r="51" spans="1:20" ht="12.75">
      <c r="A51" s="372" t="s">
        <v>794</v>
      </c>
      <c r="B51" s="373" t="s">
        <v>790</v>
      </c>
      <c r="C51" s="373" t="s">
        <v>821</v>
      </c>
      <c r="D51" s="374">
        <v>59.7</v>
      </c>
      <c r="E51" s="314" t="s">
        <v>454</v>
      </c>
      <c r="F51" s="270">
        <f t="shared" si="0"/>
        <v>1200</v>
      </c>
      <c r="G51" s="296">
        <f t="shared" si="1"/>
        <v>4.9750000000000003E-2</v>
      </c>
      <c r="I51" s="309"/>
      <c r="J51" s="315"/>
      <c r="K51" s="311"/>
      <c r="L51" s="575"/>
      <c r="M51" s="461"/>
      <c r="N51" s="461"/>
      <c r="O51" s="461"/>
      <c r="P51" s="461"/>
      <c r="Q51" s="461"/>
      <c r="R51" s="461"/>
      <c r="S51" s="461"/>
      <c r="T51" s="461"/>
    </row>
    <row r="52" spans="1:20" ht="12.75">
      <c r="A52" s="372" t="s">
        <v>794</v>
      </c>
      <c r="B52" s="373" t="s">
        <v>790</v>
      </c>
      <c r="C52" s="373" t="s">
        <v>822</v>
      </c>
      <c r="D52" s="374">
        <v>59.7</v>
      </c>
      <c r="E52" s="314" t="s">
        <v>454</v>
      </c>
      <c r="F52" s="270">
        <f t="shared" si="0"/>
        <v>1200</v>
      </c>
      <c r="G52" s="296">
        <f t="shared" si="1"/>
        <v>4.9750000000000003E-2</v>
      </c>
      <c r="I52" s="309"/>
      <c r="J52" s="315"/>
      <c r="K52" s="311"/>
      <c r="L52" s="460"/>
      <c r="M52" s="460"/>
      <c r="N52" s="578"/>
      <c r="O52" s="460"/>
      <c r="P52" s="578"/>
      <c r="Q52" s="578"/>
      <c r="R52" s="461"/>
      <c r="S52" s="460"/>
      <c r="T52" s="461"/>
    </row>
    <row r="53" spans="1:20" ht="12.75">
      <c r="A53" s="372" t="s">
        <v>794</v>
      </c>
      <c r="B53" s="373" t="s">
        <v>790</v>
      </c>
      <c r="C53" s="373" t="s">
        <v>823</v>
      </c>
      <c r="D53" s="374">
        <v>59.6</v>
      </c>
      <c r="E53" s="314" t="s">
        <v>454</v>
      </c>
      <c r="F53" s="270">
        <f t="shared" si="0"/>
        <v>1200</v>
      </c>
      <c r="G53" s="296">
        <f t="shared" si="1"/>
        <v>4.9666666666666665E-2</v>
      </c>
      <c r="I53" s="309"/>
      <c r="J53" s="315"/>
      <c r="K53" s="311"/>
      <c r="L53" s="461"/>
      <c r="M53" s="461"/>
      <c r="N53" s="461"/>
      <c r="O53" s="461"/>
      <c r="P53" s="461"/>
      <c r="Q53" s="460"/>
      <c r="R53" s="578"/>
      <c r="S53" s="460"/>
      <c r="T53" s="578"/>
    </row>
    <row r="54" spans="1:20" ht="12.75">
      <c r="A54" s="372" t="s">
        <v>794</v>
      </c>
      <c r="B54" s="373" t="s">
        <v>790</v>
      </c>
      <c r="C54" s="373" t="s">
        <v>824</v>
      </c>
      <c r="D54" s="374">
        <v>60.63</v>
      </c>
      <c r="E54" s="314" t="s">
        <v>454</v>
      </c>
      <c r="F54" s="270">
        <f t="shared" si="0"/>
        <v>1200</v>
      </c>
      <c r="G54" s="296">
        <f t="shared" si="1"/>
        <v>5.0525E-2</v>
      </c>
      <c r="I54" s="309"/>
      <c r="J54" s="315"/>
      <c r="K54" s="311"/>
      <c r="L54" s="461"/>
      <c r="M54" s="461"/>
      <c r="N54" s="461"/>
      <c r="O54" s="461"/>
      <c r="P54" s="461"/>
      <c r="Q54" s="461"/>
      <c r="R54" s="461"/>
      <c r="S54" s="461"/>
      <c r="T54" s="461"/>
    </row>
    <row r="55" spans="1:20" ht="12.75">
      <c r="A55" s="372" t="s">
        <v>794</v>
      </c>
      <c r="B55" s="373" t="s">
        <v>790</v>
      </c>
      <c r="C55" s="373" t="s">
        <v>825</v>
      </c>
      <c r="D55" s="374">
        <v>60.62</v>
      </c>
      <c r="E55" s="314" t="s">
        <v>454</v>
      </c>
      <c r="F55" s="270">
        <f t="shared" si="0"/>
        <v>1200</v>
      </c>
      <c r="G55" s="296">
        <f t="shared" si="1"/>
        <v>5.0516666666666661E-2</v>
      </c>
      <c r="I55" s="309"/>
      <c r="J55" s="315"/>
      <c r="K55" s="311"/>
      <c r="L55" s="460"/>
      <c r="M55" s="384"/>
      <c r="N55" s="385"/>
      <c r="O55" s="386"/>
      <c r="P55" s="387"/>
      <c r="Q55" s="387"/>
      <c r="R55" s="387"/>
      <c r="S55" s="387"/>
      <c r="T55" s="387"/>
    </row>
    <row r="56" spans="1:20" ht="12.75">
      <c r="A56" s="372" t="s">
        <v>794</v>
      </c>
      <c r="B56" s="373" t="s">
        <v>790</v>
      </c>
      <c r="C56" s="373" t="s">
        <v>826</v>
      </c>
      <c r="D56" s="374">
        <v>44.53</v>
      </c>
      <c r="E56" s="314" t="s">
        <v>454</v>
      </c>
      <c r="F56" s="270">
        <f t="shared" si="0"/>
        <v>1200</v>
      </c>
      <c r="G56" s="296">
        <f t="shared" si="1"/>
        <v>3.7108333333333333E-2</v>
      </c>
      <c r="I56" s="309"/>
      <c r="J56" s="315"/>
      <c r="K56" s="311"/>
      <c r="L56" s="461"/>
      <c r="M56" s="384"/>
      <c r="N56" s="385"/>
      <c r="O56" s="386"/>
      <c r="P56" s="387"/>
      <c r="Q56" s="388"/>
      <c r="R56" s="387"/>
      <c r="S56" s="387"/>
      <c r="T56" s="387"/>
    </row>
    <row r="57" spans="1:20" ht="12.75">
      <c r="A57" s="372" t="s">
        <v>794</v>
      </c>
      <c r="B57" s="373" t="s">
        <v>790</v>
      </c>
      <c r="C57" s="373" t="s">
        <v>827</v>
      </c>
      <c r="D57" s="374">
        <v>43.35</v>
      </c>
      <c r="E57" s="314" t="s">
        <v>454</v>
      </c>
      <c r="F57" s="270">
        <f t="shared" si="0"/>
        <v>1200</v>
      </c>
      <c r="G57" s="296">
        <f t="shared" si="1"/>
        <v>3.6125000000000004E-2</v>
      </c>
      <c r="I57" s="309"/>
      <c r="J57" s="315"/>
      <c r="K57" s="311"/>
      <c r="L57" s="461"/>
      <c r="M57" s="384"/>
      <c r="N57" s="389"/>
      <c r="O57" s="386"/>
      <c r="P57" s="387"/>
      <c r="Q57" s="387"/>
      <c r="R57" s="387"/>
      <c r="S57" s="387"/>
      <c r="T57" s="387"/>
    </row>
    <row r="58" spans="1:20" ht="12.75">
      <c r="A58" s="372" t="s">
        <v>794</v>
      </c>
      <c r="B58" s="373" t="s">
        <v>790</v>
      </c>
      <c r="C58" s="373" t="s">
        <v>828</v>
      </c>
      <c r="D58" s="374">
        <v>44.67</v>
      </c>
      <c r="E58" s="314" t="s">
        <v>454</v>
      </c>
      <c r="F58" s="270">
        <f t="shared" si="0"/>
        <v>1200</v>
      </c>
      <c r="G58" s="296">
        <f t="shared" si="1"/>
        <v>3.7225000000000001E-2</v>
      </c>
      <c r="I58" s="309"/>
      <c r="J58" s="315"/>
      <c r="K58" s="311"/>
      <c r="L58" s="461"/>
      <c r="M58" s="384"/>
      <c r="N58" s="385"/>
      <c r="O58" s="386"/>
      <c r="P58" s="387"/>
      <c r="Q58" s="387"/>
      <c r="R58" s="387"/>
      <c r="S58" s="387"/>
      <c r="T58" s="387"/>
    </row>
    <row r="59" spans="1:20" ht="12.75">
      <c r="A59" s="372" t="s">
        <v>794</v>
      </c>
      <c r="B59" s="373" t="s">
        <v>790</v>
      </c>
      <c r="C59" s="373" t="s">
        <v>829</v>
      </c>
      <c r="D59" s="374">
        <v>44.62</v>
      </c>
      <c r="E59" s="314" t="s">
        <v>454</v>
      </c>
      <c r="F59" s="270">
        <f t="shared" si="0"/>
        <v>1200</v>
      </c>
      <c r="G59" s="296">
        <f t="shared" si="1"/>
        <v>3.7183333333333332E-2</v>
      </c>
      <c r="I59" s="309"/>
      <c r="J59" s="315"/>
      <c r="K59" s="311"/>
      <c r="L59" s="461"/>
      <c r="M59" s="384"/>
      <c r="N59" s="385"/>
      <c r="O59" s="386"/>
      <c r="P59" s="387"/>
      <c r="Q59" s="387"/>
      <c r="R59" s="387"/>
      <c r="S59" s="387"/>
      <c r="T59" s="387"/>
    </row>
    <row r="60" spans="1:20" ht="12.75">
      <c r="A60" s="372" t="s">
        <v>794</v>
      </c>
      <c r="B60" s="373" t="s">
        <v>790</v>
      </c>
      <c r="C60" s="373" t="s">
        <v>830</v>
      </c>
      <c r="D60" s="374">
        <v>44.69</v>
      </c>
      <c r="E60" s="314" t="s">
        <v>454</v>
      </c>
      <c r="F60" s="270">
        <f t="shared" si="0"/>
        <v>1200</v>
      </c>
      <c r="G60" s="296">
        <f t="shared" si="1"/>
        <v>3.7241666666666666E-2</v>
      </c>
      <c r="I60" s="309"/>
      <c r="J60" s="315"/>
      <c r="K60" s="311"/>
      <c r="L60" s="461"/>
      <c r="M60" s="384"/>
      <c r="N60" s="385"/>
      <c r="O60" s="386"/>
      <c r="P60" s="387"/>
      <c r="Q60" s="387"/>
      <c r="R60" s="387"/>
      <c r="S60" s="387"/>
      <c r="T60" s="387"/>
    </row>
    <row r="61" spans="1:20" ht="12.75">
      <c r="A61" s="372" t="s">
        <v>794</v>
      </c>
      <c r="B61" s="373" t="s">
        <v>790</v>
      </c>
      <c r="C61" s="373" t="s">
        <v>831</v>
      </c>
      <c r="D61" s="374">
        <v>59.71</v>
      </c>
      <c r="E61" s="314" t="s">
        <v>454</v>
      </c>
      <c r="F61" s="270">
        <f t="shared" si="0"/>
        <v>1200</v>
      </c>
      <c r="G61" s="296">
        <f t="shared" si="1"/>
        <v>4.9758333333333335E-2</v>
      </c>
      <c r="I61" s="309"/>
      <c r="J61" s="315"/>
      <c r="K61" s="311"/>
      <c r="L61" s="461"/>
      <c r="M61" s="384"/>
      <c r="N61" s="389"/>
      <c r="O61" s="386"/>
      <c r="P61" s="387"/>
      <c r="Q61" s="387"/>
      <c r="R61" s="387"/>
      <c r="S61" s="387"/>
      <c r="T61" s="387"/>
    </row>
    <row r="62" spans="1:20" ht="12.75">
      <c r="A62" s="372" t="s">
        <v>794</v>
      </c>
      <c r="B62" s="373" t="s">
        <v>774</v>
      </c>
      <c r="C62" s="373" t="s">
        <v>783</v>
      </c>
      <c r="D62" s="374">
        <v>11.99</v>
      </c>
      <c r="E62" s="314" t="s">
        <v>454</v>
      </c>
      <c r="F62" s="270">
        <f t="shared" si="0"/>
        <v>1200</v>
      </c>
      <c r="G62" s="296">
        <f t="shared" si="1"/>
        <v>9.9916666666666661E-3</v>
      </c>
      <c r="I62" s="309"/>
      <c r="J62" s="315"/>
      <c r="K62" s="310"/>
      <c r="L62" s="460"/>
      <c r="M62" s="384"/>
      <c r="N62" s="385"/>
      <c r="O62" s="386"/>
      <c r="P62" s="387"/>
      <c r="Q62" s="387"/>
      <c r="R62" s="387"/>
      <c r="S62" s="387"/>
      <c r="T62" s="387"/>
    </row>
    <row r="63" spans="1:20" ht="25.5">
      <c r="A63" s="372" t="s">
        <v>794</v>
      </c>
      <c r="B63" s="373" t="s">
        <v>774</v>
      </c>
      <c r="C63" s="373" t="s">
        <v>779</v>
      </c>
      <c r="D63" s="374">
        <v>4.87</v>
      </c>
      <c r="E63" s="314" t="s">
        <v>467</v>
      </c>
      <c r="F63" s="270">
        <f t="shared" si="0"/>
        <v>300</v>
      </c>
      <c r="G63" s="296">
        <f t="shared" si="1"/>
        <v>1.6233333333333332E-2</v>
      </c>
      <c r="I63" s="309"/>
      <c r="J63" s="315"/>
      <c r="K63" s="311"/>
      <c r="L63" s="461"/>
      <c r="M63" s="384"/>
      <c r="N63" s="385"/>
      <c r="O63" s="386"/>
      <c r="P63" s="387"/>
      <c r="Q63" s="387"/>
      <c r="R63" s="387"/>
      <c r="S63" s="387"/>
      <c r="T63" s="387"/>
    </row>
    <row r="64" spans="1:20" ht="25.5">
      <c r="A64" s="372" t="s">
        <v>794</v>
      </c>
      <c r="B64" s="373" t="s">
        <v>774</v>
      </c>
      <c r="C64" s="373" t="s">
        <v>777</v>
      </c>
      <c r="D64" s="374">
        <v>22.95</v>
      </c>
      <c r="E64" s="314" t="s">
        <v>467</v>
      </c>
      <c r="F64" s="270">
        <f t="shared" si="0"/>
        <v>300</v>
      </c>
      <c r="G64" s="296">
        <f t="shared" si="1"/>
        <v>7.6499999999999999E-2</v>
      </c>
      <c r="I64" s="336"/>
      <c r="J64" s="337"/>
      <c r="K64" s="337"/>
      <c r="L64" s="461"/>
      <c r="M64" s="384"/>
      <c r="N64" s="385"/>
      <c r="O64" s="386"/>
      <c r="P64" s="387"/>
      <c r="Q64" s="387"/>
      <c r="R64" s="387"/>
      <c r="S64" s="387"/>
      <c r="T64" s="387"/>
    </row>
    <row r="65" spans="1:20" ht="25.5">
      <c r="A65" s="372" t="s">
        <v>794</v>
      </c>
      <c r="B65" s="373" t="s">
        <v>774</v>
      </c>
      <c r="C65" s="373" t="s">
        <v>781</v>
      </c>
      <c r="D65" s="374">
        <v>22.12</v>
      </c>
      <c r="E65" s="314" t="s">
        <v>467</v>
      </c>
      <c r="F65" s="270">
        <f t="shared" si="0"/>
        <v>300</v>
      </c>
      <c r="G65" s="296">
        <f t="shared" si="1"/>
        <v>7.3733333333333331E-2</v>
      </c>
      <c r="L65" s="461"/>
      <c r="M65" s="384"/>
      <c r="N65" s="385"/>
      <c r="O65" s="386"/>
      <c r="P65" s="387"/>
      <c r="Q65" s="387"/>
      <c r="R65" s="387"/>
      <c r="S65" s="387"/>
      <c r="T65" s="387"/>
    </row>
    <row r="66" spans="1:20" ht="25.5">
      <c r="A66" s="372" t="s">
        <v>794</v>
      </c>
      <c r="B66" s="373" t="s">
        <v>774</v>
      </c>
      <c r="C66" s="373" t="s">
        <v>693</v>
      </c>
      <c r="D66" s="374">
        <v>228.34</v>
      </c>
      <c r="E66" s="314" t="s">
        <v>573</v>
      </c>
      <c r="F66" s="270">
        <f t="shared" si="0"/>
        <v>1500</v>
      </c>
      <c r="G66" s="296">
        <f t="shared" si="1"/>
        <v>0.15222666666666668</v>
      </c>
      <c r="L66" s="461"/>
      <c r="M66" s="384"/>
      <c r="N66" s="385"/>
      <c r="O66" s="386"/>
      <c r="P66" s="387"/>
      <c r="Q66" s="387"/>
      <c r="R66" s="387"/>
      <c r="S66" s="387"/>
      <c r="T66" s="387"/>
    </row>
    <row r="67" spans="1:20" ht="25.5">
      <c r="A67" s="372" t="s">
        <v>794</v>
      </c>
      <c r="B67" s="373" t="s">
        <v>790</v>
      </c>
      <c r="C67" s="373" t="s">
        <v>655</v>
      </c>
      <c r="D67" s="374">
        <v>244.27</v>
      </c>
      <c r="E67" s="314" t="s">
        <v>573</v>
      </c>
      <c r="F67" s="270">
        <f t="shared" si="0"/>
        <v>1500</v>
      </c>
      <c r="G67" s="296">
        <f t="shared" si="1"/>
        <v>0.16284666666666667</v>
      </c>
      <c r="L67" s="461"/>
      <c r="M67" s="384"/>
      <c r="N67" s="385"/>
      <c r="O67" s="386"/>
      <c r="P67" s="387"/>
      <c r="Q67" s="387"/>
      <c r="R67" s="387"/>
      <c r="S67" s="387"/>
      <c r="T67" s="387"/>
    </row>
    <row r="68" spans="1:20" ht="12.75">
      <c r="A68" s="372" t="s">
        <v>832</v>
      </c>
      <c r="B68" s="373" t="s">
        <v>774</v>
      </c>
      <c r="C68" s="373" t="s">
        <v>637</v>
      </c>
      <c r="D68" s="374">
        <v>19.64</v>
      </c>
      <c r="E68" s="314" t="s">
        <v>454</v>
      </c>
      <c r="F68" s="270">
        <f t="shared" si="0"/>
        <v>1200</v>
      </c>
      <c r="G68" s="296">
        <f t="shared" si="1"/>
        <v>1.6366666666666668E-2</v>
      </c>
      <c r="L68" s="460"/>
      <c r="M68" s="384"/>
      <c r="N68" s="385"/>
      <c r="O68" s="386"/>
      <c r="P68" s="387"/>
      <c r="Q68" s="387"/>
      <c r="R68" s="387"/>
      <c r="S68" s="387"/>
      <c r="T68" s="387"/>
    </row>
    <row r="69" spans="1:20" ht="25.5">
      <c r="A69" s="372" t="s">
        <v>832</v>
      </c>
      <c r="B69" s="373" t="s">
        <v>774</v>
      </c>
      <c r="C69" s="373" t="s">
        <v>832</v>
      </c>
      <c r="D69" s="374">
        <v>16.399999999999999</v>
      </c>
      <c r="E69" s="314" t="s">
        <v>573</v>
      </c>
      <c r="F69" s="270">
        <f t="shared" si="0"/>
        <v>1500</v>
      </c>
      <c r="G69" s="296">
        <f t="shared" si="1"/>
        <v>1.0933333333333333E-2</v>
      </c>
      <c r="L69" s="461"/>
      <c r="M69" s="384"/>
      <c r="N69" s="385"/>
      <c r="O69" s="386"/>
      <c r="P69" s="387"/>
      <c r="Q69" s="387"/>
      <c r="R69" s="387"/>
      <c r="S69" s="387"/>
      <c r="T69" s="387"/>
    </row>
    <row r="70" spans="1:20" ht="25.5">
      <c r="A70" s="372" t="s">
        <v>832</v>
      </c>
      <c r="B70" s="373" t="s">
        <v>774</v>
      </c>
      <c r="C70" s="373" t="s">
        <v>833</v>
      </c>
      <c r="D70" s="374">
        <v>17.149999999999999</v>
      </c>
      <c r="E70" s="314" t="s">
        <v>454</v>
      </c>
      <c r="F70" s="270">
        <f t="shared" si="0"/>
        <v>1200</v>
      </c>
      <c r="G70" s="296">
        <f t="shared" si="1"/>
        <v>1.4291666666666666E-2</v>
      </c>
      <c r="L70" s="461"/>
      <c r="M70" s="384"/>
      <c r="N70" s="385"/>
      <c r="O70" s="386"/>
      <c r="P70" s="387"/>
      <c r="Q70" s="387"/>
      <c r="R70" s="387"/>
      <c r="S70" s="387"/>
      <c r="T70" s="387"/>
    </row>
    <row r="71" spans="1:20" ht="25.5">
      <c r="A71" s="372" t="s">
        <v>832</v>
      </c>
      <c r="B71" s="373" t="s">
        <v>774</v>
      </c>
      <c r="C71" s="373" t="s">
        <v>834</v>
      </c>
      <c r="D71" s="374">
        <v>242.2</v>
      </c>
      <c r="E71" s="314" t="s">
        <v>454</v>
      </c>
      <c r="F71" s="270">
        <f t="shared" si="0"/>
        <v>1200</v>
      </c>
      <c r="G71" s="296">
        <f t="shared" si="1"/>
        <v>0.20183333333333334</v>
      </c>
      <c r="L71" s="12"/>
      <c r="M71" s="384"/>
      <c r="N71" s="385"/>
      <c r="O71" s="386"/>
      <c r="P71" s="387"/>
      <c r="Q71" s="387"/>
      <c r="R71" s="387"/>
      <c r="S71" s="387"/>
      <c r="T71" s="387"/>
    </row>
    <row r="72" spans="1:20" ht="25.5">
      <c r="A72" s="372" t="s">
        <v>832</v>
      </c>
      <c r="B72" s="373" t="s">
        <v>774</v>
      </c>
      <c r="C72" s="373" t="s">
        <v>835</v>
      </c>
      <c r="D72" s="374">
        <v>19.55</v>
      </c>
      <c r="E72" s="314" t="s">
        <v>467</v>
      </c>
      <c r="F72" s="270">
        <f t="shared" si="0"/>
        <v>300</v>
      </c>
      <c r="G72" s="296">
        <f t="shared" si="1"/>
        <v>6.5166666666666664E-2</v>
      </c>
      <c r="L72" s="13"/>
      <c r="M72" s="384"/>
      <c r="N72" s="385"/>
      <c r="O72" s="386"/>
      <c r="P72" s="387"/>
      <c r="Q72" s="387"/>
      <c r="R72" s="387"/>
      <c r="S72" s="387"/>
      <c r="T72" s="387"/>
    </row>
    <row r="73" spans="1:20" ht="25.5">
      <c r="A73" s="372" t="s">
        <v>832</v>
      </c>
      <c r="B73" s="373" t="s">
        <v>774</v>
      </c>
      <c r="C73" s="373" t="s">
        <v>836</v>
      </c>
      <c r="D73" s="374">
        <v>19.55</v>
      </c>
      <c r="E73" s="314" t="s">
        <v>467</v>
      </c>
      <c r="F73" s="270">
        <f t="shared" si="0"/>
        <v>300</v>
      </c>
      <c r="G73" s="296">
        <f t="shared" si="1"/>
        <v>6.5166666666666664E-2</v>
      </c>
      <c r="L73" s="460"/>
      <c r="M73" s="461"/>
      <c r="N73" s="461"/>
      <c r="O73" s="338"/>
      <c r="P73" s="12"/>
      <c r="Q73" s="338"/>
      <c r="R73" s="12"/>
      <c r="S73" s="338"/>
      <c r="T73" s="12"/>
    </row>
    <row r="74" spans="1:20" ht="12.75">
      <c r="A74" s="372" t="s">
        <v>832</v>
      </c>
      <c r="B74" s="373" t="s">
        <v>774</v>
      </c>
      <c r="C74" s="373" t="s">
        <v>837</v>
      </c>
      <c r="D74" s="374">
        <v>16.100000000000001</v>
      </c>
      <c r="E74" s="314" t="s">
        <v>489</v>
      </c>
      <c r="F74" s="270">
        <f t="shared" si="0"/>
        <v>2500</v>
      </c>
      <c r="G74" s="296">
        <f t="shared" si="1"/>
        <v>6.4400000000000004E-3</v>
      </c>
      <c r="L74" s="460"/>
      <c r="M74" s="461"/>
      <c r="N74" s="461"/>
      <c r="O74" s="461"/>
      <c r="P74" s="461"/>
      <c r="Q74" s="461"/>
      <c r="R74" s="72"/>
      <c r="S74" s="339"/>
      <c r="T74" s="72"/>
    </row>
    <row r="75" spans="1:20" ht="12.75">
      <c r="A75" s="372" t="s">
        <v>832</v>
      </c>
      <c r="B75" s="373" t="s">
        <v>774</v>
      </c>
      <c r="C75" s="373" t="s">
        <v>838</v>
      </c>
      <c r="D75" s="374">
        <v>8.07</v>
      </c>
      <c r="E75" s="314" t="s">
        <v>489</v>
      </c>
      <c r="F75" s="270">
        <f t="shared" si="0"/>
        <v>2500</v>
      </c>
      <c r="G75" s="296">
        <f t="shared" si="1"/>
        <v>3.228E-3</v>
      </c>
    </row>
    <row r="76" spans="1:20" ht="12.75">
      <c r="A76" s="372" t="s">
        <v>832</v>
      </c>
      <c r="B76" s="373" t="s">
        <v>774</v>
      </c>
      <c r="C76" s="373" t="s">
        <v>839</v>
      </c>
      <c r="D76" s="374">
        <v>43.89</v>
      </c>
      <c r="E76" s="314" t="s">
        <v>454</v>
      </c>
      <c r="F76" s="270">
        <f t="shared" si="0"/>
        <v>1200</v>
      </c>
      <c r="G76" s="296">
        <f t="shared" si="1"/>
        <v>3.6575000000000003E-2</v>
      </c>
    </row>
    <row r="77" spans="1:20" ht="38.25">
      <c r="A77" s="372" t="s">
        <v>832</v>
      </c>
      <c r="B77" s="373" t="s">
        <v>774</v>
      </c>
      <c r="C77" s="373" t="s">
        <v>840</v>
      </c>
      <c r="D77" s="374">
        <v>26.43</v>
      </c>
      <c r="E77" s="314" t="s">
        <v>489</v>
      </c>
      <c r="F77" s="270">
        <f t="shared" si="0"/>
        <v>2500</v>
      </c>
      <c r="G77" s="296">
        <f t="shared" si="1"/>
        <v>1.0572E-2</v>
      </c>
    </row>
    <row r="78" spans="1:20" ht="25.5">
      <c r="A78" s="372" t="s">
        <v>832</v>
      </c>
      <c r="B78" s="373" t="s">
        <v>774</v>
      </c>
      <c r="C78" s="373" t="s">
        <v>841</v>
      </c>
      <c r="D78" s="374">
        <v>10.57</v>
      </c>
      <c r="E78" s="314" t="s">
        <v>454</v>
      </c>
      <c r="F78" s="270">
        <f t="shared" si="0"/>
        <v>1200</v>
      </c>
      <c r="G78" s="296">
        <f t="shared" si="1"/>
        <v>8.8083333333333329E-3</v>
      </c>
    </row>
    <row r="79" spans="1:20" ht="12.75">
      <c r="A79" s="372" t="s">
        <v>832</v>
      </c>
      <c r="B79" s="373" t="s">
        <v>774</v>
      </c>
      <c r="C79" s="373" t="s">
        <v>842</v>
      </c>
      <c r="D79" s="374">
        <v>3.53</v>
      </c>
      <c r="E79" s="314" t="s">
        <v>489</v>
      </c>
      <c r="F79" s="270">
        <f t="shared" si="0"/>
        <v>2500</v>
      </c>
      <c r="G79" s="296">
        <f t="shared" si="1"/>
        <v>1.4119999999999998E-3</v>
      </c>
    </row>
    <row r="80" spans="1:20" ht="12.75">
      <c r="A80" s="372" t="s">
        <v>832</v>
      </c>
      <c r="B80" s="373" t="s">
        <v>774</v>
      </c>
      <c r="C80" s="373" t="s">
        <v>843</v>
      </c>
      <c r="D80" s="374">
        <v>16.399999999999999</v>
      </c>
      <c r="E80" s="314" t="s">
        <v>454</v>
      </c>
      <c r="F80" s="270">
        <f t="shared" si="0"/>
        <v>1200</v>
      </c>
      <c r="G80" s="296">
        <f t="shared" si="1"/>
        <v>1.3666666666666666E-2</v>
      </c>
    </row>
    <row r="81" spans="1:7" ht="25.5">
      <c r="A81" s="372" t="s">
        <v>832</v>
      </c>
      <c r="B81" s="373" t="s">
        <v>774</v>
      </c>
      <c r="C81" s="373" t="s">
        <v>844</v>
      </c>
      <c r="D81" s="374">
        <v>8.1</v>
      </c>
      <c r="E81" s="314" t="s">
        <v>454</v>
      </c>
      <c r="F81" s="270">
        <f t="shared" si="0"/>
        <v>1200</v>
      </c>
      <c r="G81" s="296">
        <f t="shared" si="1"/>
        <v>6.7499999999999999E-3</v>
      </c>
    </row>
    <row r="82" spans="1:7" ht="12.75">
      <c r="A82" s="372" t="s">
        <v>832</v>
      </c>
      <c r="B82" s="373" t="s">
        <v>774</v>
      </c>
      <c r="C82" s="390" t="s">
        <v>488</v>
      </c>
      <c r="D82" s="374">
        <v>9.73</v>
      </c>
      <c r="E82" s="314" t="s">
        <v>489</v>
      </c>
      <c r="F82" s="270">
        <f t="shared" si="0"/>
        <v>2500</v>
      </c>
      <c r="G82" s="296">
        <f t="shared" si="1"/>
        <v>3.8920000000000001E-3</v>
      </c>
    </row>
    <row r="83" spans="1:7" ht="25.5">
      <c r="A83" s="372" t="s">
        <v>832</v>
      </c>
      <c r="B83" s="373" t="s">
        <v>774</v>
      </c>
      <c r="C83" s="373" t="s">
        <v>845</v>
      </c>
      <c r="D83" s="374">
        <v>7.62</v>
      </c>
      <c r="E83" s="314" t="s">
        <v>573</v>
      </c>
      <c r="F83" s="270">
        <f t="shared" si="0"/>
        <v>1500</v>
      </c>
      <c r="G83" s="296">
        <f t="shared" si="1"/>
        <v>5.0800000000000003E-3</v>
      </c>
    </row>
    <row r="84" spans="1:7" ht="25.5">
      <c r="A84" s="372" t="s">
        <v>832</v>
      </c>
      <c r="B84" s="373" t="s">
        <v>774</v>
      </c>
      <c r="C84" s="373" t="s">
        <v>846</v>
      </c>
      <c r="D84" s="374">
        <v>7.88</v>
      </c>
      <c r="E84" s="314" t="s">
        <v>573</v>
      </c>
      <c r="F84" s="270">
        <f t="shared" si="0"/>
        <v>1500</v>
      </c>
      <c r="G84" s="296">
        <f t="shared" si="1"/>
        <v>5.2533333333333329E-3</v>
      </c>
    </row>
    <row r="85" spans="1:7" ht="25.5">
      <c r="A85" s="372" t="s">
        <v>832</v>
      </c>
      <c r="B85" s="373" t="s">
        <v>774</v>
      </c>
      <c r="C85" s="373" t="s">
        <v>847</v>
      </c>
      <c r="D85" s="374">
        <v>4.0999999999999996</v>
      </c>
      <c r="E85" s="314" t="s">
        <v>573</v>
      </c>
      <c r="F85" s="270">
        <f t="shared" si="0"/>
        <v>1500</v>
      </c>
      <c r="G85" s="296">
        <f t="shared" si="1"/>
        <v>2.7333333333333333E-3</v>
      </c>
    </row>
    <row r="86" spans="1:7" ht="38.25">
      <c r="A86" s="372" t="s">
        <v>764</v>
      </c>
      <c r="B86" s="373" t="s">
        <v>790</v>
      </c>
      <c r="C86" s="373" t="s">
        <v>848</v>
      </c>
      <c r="D86" s="374">
        <v>12.49</v>
      </c>
      <c r="E86" s="314" t="s">
        <v>489</v>
      </c>
      <c r="F86" s="270">
        <f t="shared" si="0"/>
        <v>2500</v>
      </c>
      <c r="G86" s="296">
        <f t="shared" si="1"/>
        <v>4.9960000000000004E-3</v>
      </c>
    </row>
    <row r="87" spans="1:7" ht="25.5">
      <c r="A87" s="372" t="s">
        <v>764</v>
      </c>
      <c r="B87" s="373" t="s">
        <v>774</v>
      </c>
      <c r="C87" s="373" t="s">
        <v>849</v>
      </c>
      <c r="D87" s="374">
        <v>44.24</v>
      </c>
      <c r="E87" s="314" t="s">
        <v>467</v>
      </c>
      <c r="F87" s="270">
        <f t="shared" si="0"/>
        <v>300</v>
      </c>
      <c r="G87" s="296">
        <f t="shared" si="1"/>
        <v>0.14746666666666666</v>
      </c>
    </row>
    <row r="88" spans="1:7" ht="25.5">
      <c r="A88" s="372" t="s">
        <v>764</v>
      </c>
      <c r="B88" s="373" t="s">
        <v>774</v>
      </c>
      <c r="C88" s="373" t="s">
        <v>850</v>
      </c>
      <c r="D88" s="374">
        <v>44.24</v>
      </c>
      <c r="E88" s="314" t="s">
        <v>467</v>
      </c>
      <c r="F88" s="270">
        <f t="shared" si="0"/>
        <v>300</v>
      </c>
      <c r="G88" s="296">
        <f t="shared" si="1"/>
        <v>0.14746666666666666</v>
      </c>
    </row>
    <row r="89" spans="1:7" ht="25.5">
      <c r="A89" s="372" t="s">
        <v>764</v>
      </c>
      <c r="B89" s="373" t="s">
        <v>774</v>
      </c>
      <c r="C89" s="373" t="s">
        <v>851</v>
      </c>
      <c r="D89" s="374">
        <v>10.36</v>
      </c>
      <c r="E89" s="314" t="s">
        <v>467</v>
      </c>
      <c r="F89" s="270">
        <f t="shared" si="0"/>
        <v>300</v>
      </c>
      <c r="G89" s="296">
        <f t="shared" si="1"/>
        <v>3.4533333333333333E-2</v>
      </c>
    </row>
    <row r="90" spans="1:7" ht="25.5">
      <c r="A90" s="372" t="s">
        <v>764</v>
      </c>
      <c r="B90" s="373" t="s">
        <v>790</v>
      </c>
      <c r="C90" s="373" t="s">
        <v>852</v>
      </c>
      <c r="D90" s="374">
        <v>122.93</v>
      </c>
      <c r="E90" s="314" t="s">
        <v>489</v>
      </c>
      <c r="F90" s="270">
        <f t="shared" si="0"/>
        <v>2500</v>
      </c>
      <c r="G90" s="296">
        <f t="shared" si="1"/>
        <v>4.9172E-2</v>
      </c>
    </row>
    <row r="91" spans="1:7" ht="38.25">
      <c r="A91" s="372" t="s">
        <v>764</v>
      </c>
      <c r="B91" s="373" t="s">
        <v>774</v>
      </c>
      <c r="C91" s="373" t="s">
        <v>853</v>
      </c>
      <c r="D91" s="374">
        <v>42</v>
      </c>
      <c r="E91" s="314" t="s">
        <v>573</v>
      </c>
      <c r="F91" s="270">
        <f t="shared" si="0"/>
        <v>1500</v>
      </c>
      <c r="G91" s="296">
        <f t="shared" si="1"/>
        <v>2.8000000000000001E-2</v>
      </c>
    </row>
    <row r="92" spans="1:7" ht="25.5">
      <c r="A92" s="372" t="s">
        <v>764</v>
      </c>
      <c r="B92" s="373" t="s">
        <v>774</v>
      </c>
      <c r="C92" s="373" t="s">
        <v>854</v>
      </c>
      <c r="D92" s="374">
        <v>862.2</v>
      </c>
      <c r="E92" s="314" t="s">
        <v>454</v>
      </c>
      <c r="F92" s="270">
        <f t="shared" si="0"/>
        <v>1200</v>
      </c>
      <c r="G92" s="296">
        <f t="shared" si="1"/>
        <v>0.71850000000000003</v>
      </c>
    </row>
    <row r="93" spans="1:7" ht="25.5">
      <c r="A93" s="372" t="s">
        <v>764</v>
      </c>
      <c r="B93" s="373" t="s">
        <v>774</v>
      </c>
      <c r="C93" s="373" t="s">
        <v>855</v>
      </c>
      <c r="D93" s="374">
        <v>8.34</v>
      </c>
      <c r="E93" s="314" t="s">
        <v>573</v>
      </c>
      <c r="F93" s="270">
        <f t="shared" si="0"/>
        <v>1500</v>
      </c>
      <c r="G93" s="296">
        <f t="shared" si="1"/>
        <v>5.5599999999999998E-3</v>
      </c>
    </row>
    <row r="94" spans="1:7" ht="12.75">
      <c r="A94" s="372" t="s">
        <v>856</v>
      </c>
      <c r="B94" s="373" t="s">
        <v>774</v>
      </c>
      <c r="C94" s="373" t="s">
        <v>857</v>
      </c>
      <c r="D94" s="374">
        <v>90.55</v>
      </c>
      <c r="E94" s="314" t="s">
        <v>454</v>
      </c>
      <c r="F94" s="270">
        <f t="shared" si="0"/>
        <v>1200</v>
      </c>
      <c r="G94" s="296">
        <f t="shared" si="1"/>
        <v>7.5458333333333336E-2</v>
      </c>
    </row>
    <row r="95" spans="1:7" ht="12.75">
      <c r="A95" s="372" t="s">
        <v>856</v>
      </c>
      <c r="B95" s="373" t="s">
        <v>774</v>
      </c>
      <c r="C95" s="373" t="s">
        <v>858</v>
      </c>
      <c r="D95" s="374">
        <v>63.15</v>
      </c>
      <c r="E95" s="314" t="s">
        <v>454</v>
      </c>
      <c r="F95" s="270">
        <f t="shared" si="0"/>
        <v>1200</v>
      </c>
      <c r="G95" s="296">
        <f t="shared" si="1"/>
        <v>5.2624999999999998E-2</v>
      </c>
    </row>
    <row r="96" spans="1:7" ht="12.75">
      <c r="A96" s="372" t="s">
        <v>856</v>
      </c>
      <c r="B96" s="373" t="s">
        <v>774</v>
      </c>
      <c r="C96" s="373" t="s">
        <v>859</v>
      </c>
      <c r="D96" s="374">
        <v>90.55</v>
      </c>
      <c r="E96" s="314" t="s">
        <v>454</v>
      </c>
      <c r="F96" s="270">
        <f t="shared" si="0"/>
        <v>1200</v>
      </c>
      <c r="G96" s="296">
        <f t="shared" si="1"/>
        <v>7.5458333333333336E-2</v>
      </c>
    </row>
    <row r="97" spans="1:7" ht="12.75">
      <c r="A97" s="372" t="s">
        <v>856</v>
      </c>
      <c r="B97" s="373" t="s">
        <v>774</v>
      </c>
      <c r="C97" s="373" t="s">
        <v>860</v>
      </c>
      <c r="D97" s="374">
        <v>84.6</v>
      </c>
      <c r="E97" s="314" t="s">
        <v>454</v>
      </c>
      <c r="F97" s="270">
        <f t="shared" si="0"/>
        <v>1200</v>
      </c>
      <c r="G97" s="296">
        <f t="shared" si="1"/>
        <v>7.0499999999999993E-2</v>
      </c>
    </row>
    <row r="98" spans="1:7" ht="12.75">
      <c r="A98" s="372" t="s">
        <v>856</v>
      </c>
      <c r="B98" s="373" t="s">
        <v>774</v>
      </c>
      <c r="C98" s="373" t="s">
        <v>861</v>
      </c>
      <c r="D98" s="374">
        <v>68.66</v>
      </c>
      <c r="E98" s="314" t="s">
        <v>454</v>
      </c>
      <c r="F98" s="270">
        <f t="shared" si="0"/>
        <v>1200</v>
      </c>
      <c r="G98" s="296">
        <f t="shared" si="1"/>
        <v>5.7216666666666666E-2</v>
      </c>
    </row>
    <row r="99" spans="1:7" ht="12.75">
      <c r="A99" s="372" t="s">
        <v>856</v>
      </c>
      <c r="B99" s="373" t="s">
        <v>774</v>
      </c>
      <c r="C99" s="373" t="s">
        <v>862</v>
      </c>
      <c r="D99" s="374">
        <v>61.79</v>
      </c>
      <c r="E99" s="314" t="s">
        <v>454</v>
      </c>
      <c r="F99" s="270">
        <f t="shared" si="0"/>
        <v>1200</v>
      </c>
      <c r="G99" s="296">
        <f t="shared" si="1"/>
        <v>5.1491666666666665E-2</v>
      </c>
    </row>
    <row r="100" spans="1:7" ht="12.75">
      <c r="A100" s="372" t="s">
        <v>856</v>
      </c>
      <c r="B100" s="373" t="s">
        <v>774</v>
      </c>
      <c r="C100" s="373" t="s">
        <v>863</v>
      </c>
      <c r="D100" s="374">
        <v>61.79</v>
      </c>
      <c r="E100" s="314" t="s">
        <v>454</v>
      </c>
      <c r="F100" s="270">
        <f t="shared" si="0"/>
        <v>1200</v>
      </c>
      <c r="G100" s="296">
        <f t="shared" si="1"/>
        <v>5.1491666666666665E-2</v>
      </c>
    </row>
    <row r="101" spans="1:7" ht="25.5">
      <c r="A101" s="372" t="s">
        <v>856</v>
      </c>
      <c r="B101" s="373" t="s">
        <v>774</v>
      </c>
      <c r="C101" s="373" t="s">
        <v>864</v>
      </c>
      <c r="D101" s="374">
        <v>26.22</v>
      </c>
      <c r="E101" s="314" t="s">
        <v>573</v>
      </c>
      <c r="F101" s="270">
        <f t="shared" si="0"/>
        <v>1500</v>
      </c>
      <c r="G101" s="296">
        <f t="shared" si="1"/>
        <v>1.7479999999999999E-2</v>
      </c>
    </row>
    <row r="102" spans="1:7" ht="12.75">
      <c r="A102" s="372" t="s">
        <v>856</v>
      </c>
      <c r="B102" s="373" t="s">
        <v>774</v>
      </c>
      <c r="C102" s="373" t="s">
        <v>783</v>
      </c>
      <c r="D102" s="374">
        <v>16.899999999999999</v>
      </c>
      <c r="E102" s="314" t="s">
        <v>454</v>
      </c>
      <c r="F102" s="270">
        <f t="shared" si="0"/>
        <v>1200</v>
      </c>
      <c r="G102" s="296">
        <f t="shared" si="1"/>
        <v>1.4083333333333331E-2</v>
      </c>
    </row>
    <row r="103" spans="1:7" ht="25.5">
      <c r="A103" s="372" t="s">
        <v>856</v>
      </c>
      <c r="B103" s="373" t="s">
        <v>774</v>
      </c>
      <c r="C103" s="373" t="s">
        <v>865</v>
      </c>
      <c r="D103" s="374">
        <v>16.899999999999999</v>
      </c>
      <c r="E103" s="314" t="s">
        <v>454</v>
      </c>
      <c r="F103" s="270">
        <f t="shared" si="0"/>
        <v>1200</v>
      </c>
      <c r="G103" s="296">
        <f t="shared" si="1"/>
        <v>1.4083333333333331E-2</v>
      </c>
    </row>
    <row r="104" spans="1:7" ht="12.75">
      <c r="A104" s="372" t="s">
        <v>856</v>
      </c>
      <c r="B104" s="373" t="s">
        <v>774</v>
      </c>
      <c r="C104" s="373" t="s">
        <v>866</v>
      </c>
      <c r="D104" s="374">
        <v>13.85</v>
      </c>
      <c r="E104" s="314" t="s">
        <v>489</v>
      </c>
      <c r="F104" s="270">
        <f t="shared" si="0"/>
        <v>2500</v>
      </c>
      <c r="G104" s="296">
        <f t="shared" si="1"/>
        <v>5.5399999999999998E-3</v>
      </c>
    </row>
    <row r="105" spans="1:7" ht="12.75">
      <c r="A105" s="372" t="s">
        <v>856</v>
      </c>
      <c r="B105" s="373" t="s">
        <v>774</v>
      </c>
      <c r="C105" s="373" t="s">
        <v>867</v>
      </c>
      <c r="D105" s="374">
        <v>48.11</v>
      </c>
      <c r="E105" s="314" t="s">
        <v>489</v>
      </c>
      <c r="F105" s="270">
        <f t="shared" si="0"/>
        <v>2500</v>
      </c>
      <c r="G105" s="296">
        <f t="shared" si="1"/>
        <v>1.9244000000000001E-2</v>
      </c>
    </row>
    <row r="106" spans="1:7" ht="12.75">
      <c r="A106" s="372" t="s">
        <v>856</v>
      </c>
      <c r="B106" s="373" t="s">
        <v>774</v>
      </c>
      <c r="C106" s="373" t="s">
        <v>488</v>
      </c>
      <c r="D106" s="374">
        <v>10.54</v>
      </c>
      <c r="E106" s="314" t="s">
        <v>454</v>
      </c>
      <c r="F106" s="270">
        <f t="shared" si="0"/>
        <v>1200</v>
      </c>
      <c r="G106" s="296">
        <f t="shared" si="1"/>
        <v>8.7833333333333322E-3</v>
      </c>
    </row>
    <row r="107" spans="1:7" ht="12.75">
      <c r="A107" s="372"/>
      <c r="B107" s="373"/>
      <c r="C107" s="373"/>
      <c r="D107" s="374"/>
      <c r="E107" s="314"/>
      <c r="F107" s="270">
        <f t="shared" si="0"/>
        <v>0</v>
      </c>
      <c r="G107" s="296"/>
    </row>
    <row r="108" spans="1:7" ht="12.75">
      <c r="A108" s="372"/>
      <c r="B108" s="373"/>
      <c r="C108" s="373"/>
      <c r="D108" s="374"/>
      <c r="E108" s="314"/>
      <c r="F108" s="270">
        <f t="shared" si="0"/>
        <v>0</v>
      </c>
      <c r="G108" s="296"/>
    </row>
    <row r="109" spans="1:7" ht="25.5">
      <c r="A109" s="372" t="s">
        <v>856</v>
      </c>
      <c r="B109" s="373" t="s">
        <v>774</v>
      </c>
      <c r="C109" s="373" t="s">
        <v>779</v>
      </c>
      <c r="D109" s="374">
        <v>4.3499999999999996</v>
      </c>
      <c r="E109" s="314" t="s">
        <v>467</v>
      </c>
      <c r="F109" s="270">
        <f t="shared" si="0"/>
        <v>300</v>
      </c>
      <c r="G109" s="296">
        <f t="shared" ref="G109:G118" si="7">D109/F109</f>
        <v>1.4499999999999999E-2</v>
      </c>
    </row>
    <row r="110" spans="1:7" ht="25.5">
      <c r="A110" s="372" t="s">
        <v>856</v>
      </c>
      <c r="B110" s="373" t="s">
        <v>774</v>
      </c>
      <c r="C110" s="373" t="s">
        <v>781</v>
      </c>
      <c r="D110" s="374">
        <v>14.57</v>
      </c>
      <c r="E110" s="314" t="s">
        <v>467</v>
      </c>
      <c r="F110" s="270">
        <f t="shared" si="0"/>
        <v>300</v>
      </c>
      <c r="G110" s="296">
        <f t="shared" si="7"/>
        <v>4.8566666666666668E-2</v>
      </c>
    </row>
    <row r="111" spans="1:7" ht="25.5">
      <c r="A111" s="372" t="s">
        <v>856</v>
      </c>
      <c r="B111" s="373" t="s">
        <v>774</v>
      </c>
      <c r="C111" s="373" t="s">
        <v>777</v>
      </c>
      <c r="D111" s="374">
        <v>14.57</v>
      </c>
      <c r="E111" s="314" t="s">
        <v>467</v>
      </c>
      <c r="F111" s="270">
        <f t="shared" si="0"/>
        <v>300</v>
      </c>
      <c r="G111" s="296">
        <f t="shared" si="7"/>
        <v>4.8566666666666668E-2</v>
      </c>
    </row>
    <row r="112" spans="1:7" ht="38.25">
      <c r="A112" s="372" t="s">
        <v>856</v>
      </c>
      <c r="B112" s="373" t="s">
        <v>774</v>
      </c>
      <c r="C112" s="373" t="s">
        <v>868</v>
      </c>
      <c r="D112" s="374">
        <v>4.3499999999999996</v>
      </c>
      <c r="E112" s="314" t="s">
        <v>489</v>
      </c>
      <c r="F112" s="270">
        <f t="shared" si="0"/>
        <v>2500</v>
      </c>
      <c r="G112" s="296">
        <f t="shared" si="7"/>
        <v>1.7399999999999998E-3</v>
      </c>
    </row>
    <row r="113" spans="1:7" ht="25.5">
      <c r="A113" s="372" t="s">
        <v>856</v>
      </c>
      <c r="B113" s="373" t="s">
        <v>774</v>
      </c>
      <c r="C113" s="373" t="s">
        <v>855</v>
      </c>
      <c r="D113" s="374">
        <v>6.7</v>
      </c>
      <c r="E113" s="314" t="s">
        <v>573</v>
      </c>
      <c r="F113" s="270">
        <f t="shared" si="0"/>
        <v>1500</v>
      </c>
      <c r="G113" s="296">
        <f t="shared" si="7"/>
        <v>4.4666666666666665E-3</v>
      </c>
    </row>
    <row r="114" spans="1:7" ht="25.5">
      <c r="A114" s="372" t="s">
        <v>856</v>
      </c>
      <c r="B114" s="373" t="s">
        <v>774</v>
      </c>
      <c r="C114" s="373" t="s">
        <v>655</v>
      </c>
      <c r="D114" s="374">
        <v>58.1</v>
      </c>
      <c r="E114" s="314" t="s">
        <v>573</v>
      </c>
      <c r="F114" s="270">
        <f t="shared" si="0"/>
        <v>1500</v>
      </c>
      <c r="G114" s="296">
        <f t="shared" si="7"/>
        <v>3.8733333333333335E-2</v>
      </c>
    </row>
    <row r="115" spans="1:7" ht="25.5">
      <c r="A115" s="372" t="s">
        <v>856</v>
      </c>
      <c r="B115" s="373" t="s">
        <v>774</v>
      </c>
      <c r="C115" s="373" t="s">
        <v>869</v>
      </c>
      <c r="D115" s="374">
        <v>128.55000000000001</v>
      </c>
      <c r="E115" s="314" t="s">
        <v>573</v>
      </c>
      <c r="F115" s="270">
        <f t="shared" si="0"/>
        <v>1500</v>
      </c>
      <c r="G115" s="296">
        <f t="shared" si="7"/>
        <v>8.5700000000000012E-2</v>
      </c>
    </row>
    <row r="116" spans="1:7" ht="12.75">
      <c r="A116" s="372" t="s">
        <v>870</v>
      </c>
      <c r="B116" s="373" t="s">
        <v>774</v>
      </c>
      <c r="C116" s="373" t="s">
        <v>871</v>
      </c>
      <c r="D116" s="374">
        <v>2.64</v>
      </c>
      <c r="E116" s="314" t="s">
        <v>467</v>
      </c>
      <c r="F116" s="270">
        <f t="shared" si="0"/>
        <v>300</v>
      </c>
      <c r="G116" s="296">
        <f t="shared" si="7"/>
        <v>8.8000000000000005E-3</v>
      </c>
    </row>
    <row r="117" spans="1:7" ht="12.75">
      <c r="A117" s="372" t="s">
        <v>870</v>
      </c>
      <c r="B117" s="373" t="s">
        <v>774</v>
      </c>
      <c r="C117" s="373" t="s">
        <v>870</v>
      </c>
      <c r="D117" s="374">
        <v>3.74</v>
      </c>
      <c r="E117" s="314" t="s">
        <v>454</v>
      </c>
      <c r="F117" s="270">
        <f t="shared" si="0"/>
        <v>1200</v>
      </c>
      <c r="G117" s="296">
        <f t="shared" si="7"/>
        <v>3.1166666666666669E-3</v>
      </c>
    </row>
    <row r="118" spans="1:7" ht="12.75">
      <c r="A118" s="372" t="s">
        <v>870</v>
      </c>
      <c r="B118" s="373" t="s">
        <v>774</v>
      </c>
      <c r="C118" s="373" t="s">
        <v>783</v>
      </c>
      <c r="D118" s="374">
        <v>4.4000000000000004</v>
      </c>
      <c r="E118" s="314" t="s">
        <v>454</v>
      </c>
      <c r="F118" s="270">
        <f t="shared" si="0"/>
        <v>1200</v>
      </c>
      <c r="G118" s="296">
        <f t="shared" si="7"/>
        <v>3.666666666666667E-3</v>
      </c>
    </row>
    <row r="119" spans="1:7" ht="12.75">
      <c r="A119" s="372"/>
      <c r="B119" s="373"/>
      <c r="C119" s="373"/>
      <c r="D119" s="374"/>
      <c r="E119" s="314"/>
      <c r="F119" s="270">
        <f t="shared" si="0"/>
        <v>0</v>
      </c>
      <c r="G119" s="296"/>
    </row>
    <row r="120" spans="1:7" ht="25.5">
      <c r="A120" s="372" t="s">
        <v>872</v>
      </c>
      <c r="B120" s="373" t="s">
        <v>774</v>
      </c>
      <c r="C120" s="373" t="s">
        <v>873</v>
      </c>
      <c r="D120" s="374">
        <v>29.74</v>
      </c>
      <c r="E120" s="314" t="s">
        <v>454</v>
      </c>
      <c r="F120" s="270">
        <f t="shared" si="0"/>
        <v>1200</v>
      </c>
      <c r="G120" s="296">
        <f>D120/F120</f>
        <v>2.4783333333333331E-2</v>
      </c>
    </row>
    <row r="121" spans="1:7" ht="25.5">
      <c r="A121" s="391" t="s">
        <v>856</v>
      </c>
      <c r="B121" s="373" t="s">
        <v>774</v>
      </c>
      <c r="C121" s="373" t="s">
        <v>874</v>
      </c>
      <c r="D121" s="374">
        <v>593.1</v>
      </c>
      <c r="E121" s="314" t="s">
        <v>573</v>
      </c>
      <c r="F121" s="270">
        <f t="shared" si="0"/>
        <v>1500</v>
      </c>
      <c r="G121" s="296">
        <f>D107/F121</f>
        <v>0</v>
      </c>
    </row>
    <row r="122" spans="1:7" ht="12.75">
      <c r="A122" s="604" t="s">
        <v>15</v>
      </c>
      <c r="B122" s="565"/>
      <c r="C122" s="566"/>
      <c r="D122" s="340">
        <f>SUM(D4:D121)</f>
        <v>5983.2999999999993</v>
      </c>
      <c r="E122" s="341"/>
      <c r="F122" s="341"/>
      <c r="G122" s="342">
        <f>SUM(G4:G121)</f>
        <v>4.8777493333333357</v>
      </c>
    </row>
  </sheetData>
  <mergeCells count="42">
    <mergeCell ref="Q52:R52"/>
    <mergeCell ref="S52:T52"/>
    <mergeCell ref="Q53:Q54"/>
    <mergeCell ref="R53:R54"/>
    <mergeCell ref="S53:S54"/>
    <mergeCell ref="T53:T54"/>
    <mergeCell ref="M52:M54"/>
    <mergeCell ref="N52:N54"/>
    <mergeCell ref="A122:C122"/>
    <mergeCell ref="O52:O54"/>
    <mergeCell ref="P52:P54"/>
    <mergeCell ref="L51:T51"/>
    <mergeCell ref="L52:L54"/>
    <mergeCell ref="A1:G1"/>
    <mergeCell ref="I1:M1"/>
    <mergeCell ref="O1:T1"/>
    <mergeCell ref="A2:G2"/>
    <mergeCell ref="I2:M2"/>
    <mergeCell ref="O2:T2"/>
    <mergeCell ref="O11:T11"/>
    <mergeCell ref="O12:T12"/>
    <mergeCell ref="O18:S18"/>
    <mergeCell ref="O19:S19"/>
    <mergeCell ref="O24:T24"/>
    <mergeCell ref="P25:P27"/>
    <mergeCell ref="Q25:Q27"/>
    <mergeCell ref="T25:T27"/>
    <mergeCell ref="O25:O27"/>
    <mergeCell ref="O28:O34"/>
    <mergeCell ref="O35:O40"/>
    <mergeCell ref="O41:O43"/>
    <mergeCell ref="O46:R46"/>
    <mergeCell ref="L55:L61"/>
    <mergeCell ref="L62:L67"/>
    <mergeCell ref="L68:L70"/>
    <mergeCell ref="L73:N73"/>
    <mergeCell ref="L74:Q74"/>
    <mergeCell ref="R25:R27"/>
    <mergeCell ref="S25:S27"/>
    <mergeCell ref="S28:S34"/>
    <mergeCell ref="S35:S40"/>
    <mergeCell ref="S41:S43"/>
  </mergeCells>
  <dataValidations count="3">
    <dataValidation type="list" allowBlank="1" showInputMessage="1" showErrorMessage="1" prompt="IN 05/2017, ANEXO VI-B, ITEM 3.2" sqref="K4:K11" xr:uid="{00000000-0002-0000-0D00-000000000000}">
      <formula1>"Pisos pavimentados adjacentes/contíguos às edificações,Varrição de passeios e arruamentos,Pátios e áreas verdes com alta frequência,Pátios e áreas verdes com média frequência,Pátios e áreas verdes com baixa frequência,coleta de detritos em pátios e áreas "&amp;"verdes com frequência diária"</formula1>
    </dataValidation>
    <dataValidation type="list" allowBlank="1" showInputMessage="1" showErrorMessage="1" prompt="IN 05/2017 - ANEXO VI-B, item 3.1." sqref="E4:E121" xr:uid="{00000000-0002-0000-0D00-000001000000}">
      <formula1>"Pisos acarpetados,Pisos frios,Laboratórios,Almoxarifados/galpões,Oficinas,Áreas com espaços livres - saguão hall e salão,Banheiros"</formula1>
    </dataValidation>
    <dataValidation type="decimal" operator="greaterThan" allowBlank="1" showDropDown="1" showInputMessage="1" showErrorMessage="1" prompt="Informe um número!" sqref="J7 D4:D121" xr:uid="{00000000-0002-0000-0D00-000002000000}">
      <formula1>0</formula1>
    </dataValidation>
  </dataValidations>
  <pageMargins left="0.39370078740157477" right="0.39370078740157477" top="0" bottom="0" header="0" footer="0"/>
  <pageSetup paperSize="9" fitToHeight="0" pageOrder="overThenDown" orientation="portrait"/>
  <headerFooter>
    <oddHeader>&amp;CANEXO I - O  ÁREA CAMPUS CEILÂNDIA (44h Segunda à Sexta)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34A853"/>
    <outlinePr summaryBelow="0" summaryRight="0"/>
    <pageSetUpPr fitToPage="1"/>
  </sheetPr>
  <dimension ref="A1:T120"/>
  <sheetViews>
    <sheetView showGridLines="0" workbookViewId="0">
      <pane ySplit="3" topLeftCell="A87" activePane="bottomLeft" state="frozen"/>
      <selection pane="bottomLeft" activeCell="A4" sqref="A4:XFD119"/>
    </sheetView>
  </sheetViews>
  <sheetFormatPr defaultColWidth="14.42578125" defaultRowHeight="15" customHeight="1"/>
  <cols>
    <col min="1" max="1" width="35.42578125" customWidth="1"/>
    <col min="3" max="3" width="37.140625" customWidth="1"/>
    <col min="5" max="5" width="22.140625" customWidth="1"/>
    <col min="6" max="6" width="22.85546875" customWidth="1"/>
    <col min="7" max="7" width="15.5703125" customWidth="1"/>
    <col min="9" max="9" width="72.140625" customWidth="1"/>
    <col min="11" max="11" width="54.28515625" customWidth="1"/>
    <col min="12" max="12" width="22.85546875" customWidth="1"/>
    <col min="13" max="13" width="51.42578125" customWidth="1"/>
    <col min="15" max="15" width="43.42578125" customWidth="1"/>
    <col min="16" max="16" width="51.42578125" customWidth="1"/>
    <col min="17" max="17" width="16.28515625" customWidth="1"/>
    <col min="18" max="18" width="28.42578125" customWidth="1"/>
    <col min="19" max="19" width="32.85546875" customWidth="1"/>
    <col min="20" max="20" width="36.42578125" customWidth="1"/>
    <col min="21" max="21" width="5.42578125" customWidth="1"/>
  </cols>
  <sheetData>
    <row r="1" spans="1:20">
      <c r="A1" s="580" t="s">
        <v>55</v>
      </c>
      <c r="B1" s="568"/>
      <c r="C1" s="568"/>
      <c r="D1" s="568"/>
      <c r="E1" s="568"/>
      <c r="F1" s="568"/>
      <c r="G1" s="569"/>
      <c r="I1" s="581" t="s">
        <v>55</v>
      </c>
      <c r="J1" s="430"/>
      <c r="K1" s="430"/>
      <c r="L1" s="430"/>
      <c r="M1" s="430"/>
      <c r="O1" s="582" t="s">
        <v>55</v>
      </c>
      <c r="P1" s="549"/>
      <c r="Q1" s="549"/>
      <c r="R1" s="549"/>
      <c r="S1" s="549"/>
      <c r="T1" s="583"/>
    </row>
    <row r="2" spans="1:20">
      <c r="A2" s="584" t="s">
        <v>59</v>
      </c>
      <c r="B2" s="434"/>
      <c r="C2" s="434"/>
      <c r="D2" s="434"/>
      <c r="E2" s="434"/>
      <c r="F2" s="434"/>
      <c r="G2" s="585"/>
      <c r="I2" s="586" t="s">
        <v>60</v>
      </c>
      <c r="J2" s="434"/>
      <c r="K2" s="434"/>
      <c r="L2" s="434"/>
      <c r="M2" s="435"/>
      <c r="O2" s="587" t="s">
        <v>61</v>
      </c>
      <c r="P2" s="434"/>
      <c r="Q2" s="434"/>
      <c r="R2" s="434"/>
      <c r="S2" s="434"/>
      <c r="T2" s="588"/>
    </row>
    <row r="3" spans="1:20">
      <c r="A3" s="281" t="s">
        <v>438</v>
      </c>
      <c r="B3" s="282" t="s">
        <v>439</v>
      </c>
      <c r="C3" s="282" t="s">
        <v>440</v>
      </c>
      <c r="D3" s="282" t="s">
        <v>441</v>
      </c>
      <c r="E3" s="282" t="s">
        <v>442</v>
      </c>
      <c r="F3" s="282" t="s">
        <v>443</v>
      </c>
      <c r="G3" s="283" t="s">
        <v>444</v>
      </c>
      <c r="I3" s="284" t="s">
        <v>445</v>
      </c>
      <c r="J3" s="285" t="s">
        <v>441</v>
      </c>
      <c r="K3" s="286" t="s">
        <v>442</v>
      </c>
      <c r="L3" s="282" t="s">
        <v>443</v>
      </c>
      <c r="M3" s="287" t="s">
        <v>444</v>
      </c>
      <c r="O3" s="288" t="s">
        <v>2</v>
      </c>
      <c r="P3" s="289" t="s">
        <v>446</v>
      </c>
      <c r="Q3" s="289" t="s">
        <v>447</v>
      </c>
      <c r="R3" s="290" t="s">
        <v>448</v>
      </c>
      <c r="S3" s="290" t="s">
        <v>875</v>
      </c>
      <c r="T3" s="291" t="s">
        <v>450</v>
      </c>
    </row>
    <row r="4" spans="1:20" ht="26.25">
      <c r="A4" s="392" t="s">
        <v>773</v>
      </c>
      <c r="B4" s="392" t="s">
        <v>483</v>
      </c>
      <c r="C4" s="392" t="s">
        <v>532</v>
      </c>
      <c r="D4" s="393">
        <v>25.64</v>
      </c>
      <c r="E4" s="314" t="s">
        <v>573</v>
      </c>
      <c r="F4" s="270">
        <f t="shared" ref="F4:F119" si="0">IF(E4="Pisos acarpetados",1200,IF(E4="Pisos frios",1200,IF(E4="Laboratórios",450,IF(E4="Almoxarifados/galpões",2500,IF(E4="Oficinas",1800,IF(E4="Áreas com espaços livres - saguão hall e salão",1500,IF(E4="Banheiros",300,0)))))))</f>
        <v>1500</v>
      </c>
      <c r="G4" s="296">
        <f t="shared" ref="G4:G66" si="1">D4/F4</f>
        <v>1.7093333333333335E-2</v>
      </c>
      <c r="I4" s="394" t="s">
        <v>876</v>
      </c>
      <c r="J4" s="376">
        <v>31.41</v>
      </c>
      <c r="K4" s="270" t="s">
        <v>456</v>
      </c>
      <c r="L4" s="269">
        <f t="shared" ref="L4:L19" si="2">IF(K4="Pisos pavimentados adjacentes/contíguos às edificações",2700,IF(K4="Varrição de passeios e arruamentos",9000,IF(K4="Pátios e áreas verdes com alta frequência",2700,IF(K4="Pátios e áreas verdes com média frequência",2700,IF(K4="Pátios e áreas verdes com baixa frequência",2700,IF(K4="coleta de detritos em pátios e áreas verdes com frequência diária",100000,0))))))</f>
        <v>2700</v>
      </c>
      <c r="M4" s="269">
        <f t="shared" ref="M4:M14" si="3">J4/L4</f>
        <v>1.1633333333333334E-2</v>
      </c>
      <c r="O4" s="297" t="s">
        <v>457</v>
      </c>
      <c r="P4" s="298">
        <v>727.16</v>
      </c>
      <c r="Q4" s="270">
        <v>380</v>
      </c>
      <c r="R4" s="270">
        <v>8</v>
      </c>
      <c r="S4" s="299">
        <v>1132.5999999999999</v>
      </c>
      <c r="T4" s="300">
        <f>(P4*R4)/(Q4*S4)</f>
        <v>1.3516361980352613E-2</v>
      </c>
    </row>
    <row r="5" spans="1:20" ht="30">
      <c r="A5" s="392" t="s">
        <v>773</v>
      </c>
      <c r="B5" s="392" t="s">
        <v>483</v>
      </c>
      <c r="C5" s="392" t="s">
        <v>469</v>
      </c>
      <c r="D5" s="393">
        <v>5.9</v>
      </c>
      <c r="E5" s="314" t="s">
        <v>467</v>
      </c>
      <c r="F5" s="270">
        <f t="shared" si="0"/>
        <v>300</v>
      </c>
      <c r="G5" s="296">
        <f t="shared" si="1"/>
        <v>1.9666666666666669E-2</v>
      </c>
      <c r="I5" s="394" t="s">
        <v>780</v>
      </c>
      <c r="J5" s="376">
        <v>3.6</v>
      </c>
      <c r="K5" s="270" t="s">
        <v>456</v>
      </c>
      <c r="L5" s="269">
        <f t="shared" si="2"/>
        <v>2700</v>
      </c>
      <c r="M5" s="269">
        <f t="shared" si="3"/>
        <v>1.3333333333333333E-3</v>
      </c>
      <c r="O5" s="288" t="s">
        <v>2</v>
      </c>
      <c r="P5" s="289" t="s">
        <v>446</v>
      </c>
      <c r="Q5" s="289" t="s">
        <v>447</v>
      </c>
      <c r="R5" s="302" t="s">
        <v>461</v>
      </c>
      <c r="S5" s="302" t="s">
        <v>462</v>
      </c>
      <c r="T5" s="291" t="s">
        <v>450</v>
      </c>
    </row>
    <row r="6" spans="1:20">
      <c r="A6" s="392" t="s">
        <v>773</v>
      </c>
      <c r="B6" s="392" t="s">
        <v>483</v>
      </c>
      <c r="C6" s="392" t="s">
        <v>877</v>
      </c>
      <c r="D6" s="393">
        <v>4.55</v>
      </c>
      <c r="E6" s="314" t="s">
        <v>467</v>
      </c>
      <c r="F6" s="270">
        <f t="shared" si="0"/>
        <v>300</v>
      </c>
      <c r="G6" s="296">
        <f t="shared" si="1"/>
        <v>1.5166666666666667E-2</v>
      </c>
      <c r="I6" s="394" t="s">
        <v>782</v>
      </c>
      <c r="J6" s="376">
        <v>7.2</v>
      </c>
      <c r="K6" s="270" t="s">
        <v>456</v>
      </c>
      <c r="L6" s="269">
        <f t="shared" si="2"/>
        <v>2700</v>
      </c>
      <c r="M6" s="269">
        <f t="shared" si="3"/>
        <v>2.6666666666666666E-3</v>
      </c>
      <c r="O6" s="297" t="s">
        <v>575</v>
      </c>
      <c r="P6" s="298">
        <v>727.16</v>
      </c>
      <c r="Q6" s="270">
        <v>380</v>
      </c>
      <c r="R6" s="270">
        <v>16</v>
      </c>
      <c r="S6" s="270">
        <v>188.76</v>
      </c>
      <c r="T6" s="300">
        <f>(P6*R6)/(Q6*S6)</f>
        <v>0.16220207224991912</v>
      </c>
    </row>
    <row r="7" spans="1:20">
      <c r="A7" s="392" t="s">
        <v>773</v>
      </c>
      <c r="B7" s="392" t="s">
        <v>483</v>
      </c>
      <c r="C7" s="392" t="s">
        <v>466</v>
      </c>
      <c r="D7" s="393">
        <v>5.9</v>
      </c>
      <c r="E7" s="314" t="s">
        <v>467</v>
      </c>
      <c r="F7" s="270">
        <f t="shared" si="0"/>
        <v>300</v>
      </c>
      <c r="G7" s="296">
        <f t="shared" si="1"/>
        <v>1.9666666666666669E-2</v>
      </c>
      <c r="I7" s="394" t="s">
        <v>878</v>
      </c>
      <c r="J7" s="376">
        <v>8.82</v>
      </c>
      <c r="K7" s="270" t="s">
        <v>456</v>
      </c>
      <c r="L7" s="269">
        <f t="shared" si="2"/>
        <v>2700</v>
      </c>
      <c r="M7" s="269">
        <f t="shared" si="3"/>
        <v>3.2666666666666669E-3</v>
      </c>
      <c r="O7" s="303" t="s">
        <v>15</v>
      </c>
      <c r="P7" s="353">
        <f>P6+P4</f>
        <v>1454.32</v>
      </c>
      <c r="Q7" s="304"/>
      <c r="R7" s="304"/>
      <c r="S7" s="304"/>
      <c r="T7" s="305">
        <f>T6+T4</f>
        <v>0.17571843423027173</v>
      </c>
    </row>
    <row r="8" spans="1:20">
      <c r="A8" s="392" t="s">
        <v>773</v>
      </c>
      <c r="B8" s="392" t="s">
        <v>483</v>
      </c>
      <c r="C8" s="392" t="s">
        <v>482</v>
      </c>
      <c r="D8" s="393">
        <v>9.1</v>
      </c>
      <c r="E8" s="314" t="s">
        <v>454</v>
      </c>
      <c r="F8" s="270">
        <f t="shared" si="0"/>
        <v>1200</v>
      </c>
      <c r="G8" s="296">
        <f t="shared" si="1"/>
        <v>7.5833333333333334E-3</v>
      </c>
      <c r="I8" s="394" t="s">
        <v>879</v>
      </c>
      <c r="J8" s="376">
        <v>5.0599999999999996</v>
      </c>
      <c r="K8" s="270" t="s">
        <v>456</v>
      </c>
      <c r="L8" s="269">
        <f t="shared" si="2"/>
        <v>2700</v>
      </c>
      <c r="M8" s="269">
        <f t="shared" si="3"/>
        <v>1.874074074074074E-3</v>
      </c>
      <c r="O8" s="354"/>
      <c r="P8" s="395"/>
      <c r="Q8" s="310"/>
      <c r="R8" s="310"/>
      <c r="S8" s="310"/>
      <c r="T8" s="311"/>
    </row>
    <row r="9" spans="1:20">
      <c r="A9" s="392" t="s">
        <v>773</v>
      </c>
      <c r="B9" s="392" t="s">
        <v>483</v>
      </c>
      <c r="C9" s="392" t="s">
        <v>880</v>
      </c>
      <c r="D9" s="393">
        <v>222.16</v>
      </c>
      <c r="E9" s="314" t="s">
        <v>582</v>
      </c>
      <c r="F9" s="270">
        <f t="shared" si="0"/>
        <v>1200</v>
      </c>
      <c r="G9" s="296">
        <f t="shared" si="1"/>
        <v>0.18513333333333334</v>
      </c>
      <c r="I9" s="394" t="s">
        <v>881</v>
      </c>
      <c r="J9" s="376">
        <v>24.79</v>
      </c>
      <c r="K9" s="270" t="s">
        <v>456</v>
      </c>
      <c r="L9" s="269">
        <f t="shared" si="2"/>
        <v>2700</v>
      </c>
      <c r="M9" s="269">
        <f t="shared" si="3"/>
        <v>9.1814814814814814E-3</v>
      </c>
      <c r="O9" s="354"/>
      <c r="P9" s="395"/>
      <c r="Q9" s="310"/>
      <c r="R9" s="310"/>
      <c r="S9" s="310"/>
      <c r="T9" s="311"/>
    </row>
    <row r="10" spans="1:20">
      <c r="A10" s="392" t="s">
        <v>773</v>
      </c>
      <c r="B10" s="392" t="s">
        <v>483</v>
      </c>
      <c r="C10" s="392" t="s">
        <v>882</v>
      </c>
      <c r="D10" s="393">
        <v>1.79</v>
      </c>
      <c r="E10" s="314" t="s">
        <v>467</v>
      </c>
      <c r="F10" s="270">
        <f t="shared" si="0"/>
        <v>300</v>
      </c>
      <c r="G10" s="296">
        <f t="shared" si="1"/>
        <v>5.966666666666667E-3</v>
      </c>
      <c r="I10" s="394" t="s">
        <v>883</v>
      </c>
      <c r="J10" s="376">
        <v>5362.91</v>
      </c>
      <c r="K10" s="270" t="s">
        <v>475</v>
      </c>
      <c r="L10" s="269">
        <f t="shared" si="2"/>
        <v>9000</v>
      </c>
      <c r="M10" s="269">
        <f t="shared" si="3"/>
        <v>0.59587888888888885</v>
      </c>
    </row>
    <row r="11" spans="1:20">
      <c r="A11" s="392" t="s">
        <v>766</v>
      </c>
      <c r="B11" s="392" t="s">
        <v>483</v>
      </c>
      <c r="C11" s="392" t="s">
        <v>884</v>
      </c>
      <c r="D11" s="393">
        <v>107.18</v>
      </c>
      <c r="E11" s="314" t="s">
        <v>582</v>
      </c>
      <c r="F11" s="270">
        <f t="shared" si="0"/>
        <v>1200</v>
      </c>
      <c r="G11" s="296">
        <f t="shared" si="1"/>
        <v>8.9316666666666669E-2</v>
      </c>
      <c r="I11" s="394" t="s">
        <v>885</v>
      </c>
      <c r="J11" s="376">
        <v>7120.22</v>
      </c>
      <c r="K11" s="270" t="s">
        <v>776</v>
      </c>
      <c r="L11" s="269">
        <f t="shared" si="2"/>
        <v>100000</v>
      </c>
      <c r="M11" s="269">
        <f t="shared" si="3"/>
        <v>7.1202200000000007E-2</v>
      </c>
    </row>
    <row r="12" spans="1:20">
      <c r="A12" s="392" t="s">
        <v>766</v>
      </c>
      <c r="B12" s="392" t="s">
        <v>483</v>
      </c>
      <c r="C12" s="392" t="s">
        <v>482</v>
      </c>
      <c r="D12" s="393">
        <v>3.34</v>
      </c>
      <c r="E12" s="314" t="s">
        <v>454</v>
      </c>
      <c r="F12" s="270">
        <f t="shared" si="0"/>
        <v>1200</v>
      </c>
      <c r="G12" s="296">
        <f t="shared" si="1"/>
        <v>2.7833333333333334E-3</v>
      </c>
      <c r="I12" s="394" t="s">
        <v>886</v>
      </c>
      <c r="J12" s="376">
        <v>807.4</v>
      </c>
      <c r="K12" s="270" t="s">
        <v>776</v>
      </c>
      <c r="L12" s="269">
        <f t="shared" si="2"/>
        <v>100000</v>
      </c>
      <c r="M12" s="269">
        <f t="shared" si="3"/>
        <v>8.0739999999999996E-3</v>
      </c>
    </row>
    <row r="13" spans="1:20">
      <c r="A13" s="392" t="s">
        <v>766</v>
      </c>
      <c r="B13" s="392" t="s">
        <v>887</v>
      </c>
      <c r="C13" s="392" t="s">
        <v>888</v>
      </c>
      <c r="D13" s="393">
        <v>69.400000000000006</v>
      </c>
      <c r="E13" s="314" t="s">
        <v>582</v>
      </c>
      <c r="F13" s="270">
        <f t="shared" si="0"/>
        <v>1200</v>
      </c>
      <c r="G13" s="296">
        <f t="shared" si="1"/>
        <v>5.7833333333333341E-2</v>
      </c>
      <c r="I13" s="394" t="s">
        <v>889</v>
      </c>
      <c r="J13" s="376">
        <v>703.84</v>
      </c>
      <c r="K13" s="270" t="s">
        <v>475</v>
      </c>
      <c r="L13" s="269">
        <f t="shared" si="2"/>
        <v>9000</v>
      </c>
      <c r="M13" s="269">
        <f t="shared" si="3"/>
        <v>7.8204444444444451E-2</v>
      </c>
      <c r="O13" s="582" t="s">
        <v>55</v>
      </c>
      <c r="P13" s="549"/>
      <c r="Q13" s="549"/>
      <c r="R13" s="549"/>
      <c r="S13" s="549"/>
      <c r="T13" s="583"/>
    </row>
    <row r="14" spans="1:20" ht="30">
      <c r="A14" s="392" t="s">
        <v>890</v>
      </c>
      <c r="B14" s="392" t="s">
        <v>483</v>
      </c>
      <c r="C14" s="392" t="s">
        <v>891</v>
      </c>
      <c r="D14" s="393">
        <v>281.39999999999998</v>
      </c>
      <c r="E14" s="314" t="s">
        <v>573</v>
      </c>
      <c r="F14" s="270">
        <f t="shared" si="0"/>
        <v>1500</v>
      </c>
      <c r="G14" s="296">
        <f t="shared" si="1"/>
        <v>0.18759999999999999</v>
      </c>
      <c r="I14" s="394" t="s">
        <v>892</v>
      </c>
      <c r="J14" s="376">
        <v>1054.45</v>
      </c>
      <c r="K14" s="270" t="s">
        <v>475</v>
      </c>
      <c r="L14" s="269">
        <f t="shared" si="2"/>
        <v>9000</v>
      </c>
      <c r="M14" s="269">
        <f t="shared" si="3"/>
        <v>0.11716111111111112</v>
      </c>
      <c r="O14" s="587" t="s">
        <v>62</v>
      </c>
      <c r="P14" s="434"/>
      <c r="Q14" s="434"/>
      <c r="R14" s="434"/>
      <c r="S14" s="434"/>
      <c r="T14" s="588"/>
    </row>
    <row r="15" spans="1:20" ht="30">
      <c r="A15" s="392" t="s">
        <v>890</v>
      </c>
      <c r="B15" s="392" t="s">
        <v>483</v>
      </c>
      <c r="C15" s="392" t="s">
        <v>893</v>
      </c>
      <c r="D15" s="393">
        <v>43.28</v>
      </c>
      <c r="E15" s="314" t="s">
        <v>489</v>
      </c>
      <c r="F15" s="270">
        <f t="shared" si="0"/>
        <v>2500</v>
      </c>
      <c r="G15" s="296">
        <f t="shared" si="1"/>
        <v>1.7312000000000001E-2</v>
      </c>
      <c r="I15" s="294"/>
      <c r="J15" s="377"/>
      <c r="K15" s="270"/>
      <c r="L15" s="269">
        <f t="shared" si="2"/>
        <v>0</v>
      </c>
      <c r="M15" s="269"/>
      <c r="O15" s="288" t="s">
        <v>2</v>
      </c>
      <c r="P15" s="289" t="s">
        <v>446</v>
      </c>
      <c r="Q15" s="289" t="s">
        <v>447</v>
      </c>
      <c r="R15" s="290" t="s">
        <v>448</v>
      </c>
      <c r="S15" s="290" t="s">
        <v>449</v>
      </c>
      <c r="T15" s="291" t="s">
        <v>478</v>
      </c>
    </row>
    <row r="16" spans="1:20">
      <c r="A16" s="392" t="s">
        <v>894</v>
      </c>
      <c r="B16" s="392" t="s">
        <v>483</v>
      </c>
      <c r="C16" s="392" t="s">
        <v>895</v>
      </c>
      <c r="D16" s="393">
        <v>38.26</v>
      </c>
      <c r="E16" s="314" t="s">
        <v>454</v>
      </c>
      <c r="F16" s="270">
        <f t="shared" si="0"/>
        <v>1200</v>
      </c>
      <c r="G16" s="296">
        <f t="shared" si="1"/>
        <v>3.1883333333333333E-2</v>
      </c>
      <c r="I16" s="270" t="s">
        <v>896</v>
      </c>
      <c r="J16" s="270">
        <v>219.8</v>
      </c>
      <c r="K16" s="396" t="s">
        <v>456</v>
      </c>
      <c r="L16" s="269">
        <f t="shared" si="2"/>
        <v>2700</v>
      </c>
      <c r="M16" s="269">
        <f t="shared" ref="M16:M19" si="4">J16/L16</f>
        <v>8.1407407407407414E-2</v>
      </c>
      <c r="O16" s="381" t="s">
        <v>47</v>
      </c>
      <c r="P16" s="298">
        <v>0</v>
      </c>
      <c r="Q16" s="270">
        <v>160</v>
      </c>
      <c r="R16" s="270">
        <v>8</v>
      </c>
      <c r="S16" s="299">
        <v>1132.5999999999999</v>
      </c>
      <c r="T16" s="300">
        <f t="shared" ref="T16:T17" si="5">(P16*R16)/(Q16*S16)</f>
        <v>0</v>
      </c>
    </row>
    <row r="17" spans="1:20" ht="26.25">
      <c r="A17" s="392" t="s">
        <v>894</v>
      </c>
      <c r="B17" s="392" t="s">
        <v>483</v>
      </c>
      <c r="C17" s="392" t="s">
        <v>897</v>
      </c>
      <c r="D17" s="393">
        <v>6.08</v>
      </c>
      <c r="E17" s="314" t="s">
        <v>489</v>
      </c>
      <c r="F17" s="270">
        <f t="shared" si="0"/>
        <v>2500</v>
      </c>
      <c r="G17" s="296">
        <f t="shared" si="1"/>
        <v>2.4320000000000001E-3</v>
      </c>
      <c r="I17" s="270" t="s">
        <v>898</v>
      </c>
      <c r="J17" s="270">
        <v>622.87</v>
      </c>
      <c r="K17" s="396" t="s">
        <v>456</v>
      </c>
      <c r="L17" s="269">
        <f t="shared" si="2"/>
        <v>2700</v>
      </c>
      <c r="M17" s="269">
        <f t="shared" si="4"/>
        <v>0.23069259259259259</v>
      </c>
      <c r="O17" s="297" t="s">
        <v>793</v>
      </c>
      <c r="P17" s="298">
        <v>0</v>
      </c>
      <c r="Q17" s="270">
        <v>160</v>
      </c>
      <c r="R17" s="270">
        <v>8</v>
      </c>
      <c r="S17" s="299">
        <v>1132.5999999999999</v>
      </c>
      <c r="T17" s="300">
        <f t="shared" si="5"/>
        <v>0</v>
      </c>
    </row>
    <row r="18" spans="1:20">
      <c r="A18" s="392" t="s">
        <v>894</v>
      </c>
      <c r="B18" s="392" t="s">
        <v>483</v>
      </c>
      <c r="C18" s="392" t="s">
        <v>486</v>
      </c>
      <c r="D18" s="393">
        <v>14.33</v>
      </c>
      <c r="E18" s="314" t="s">
        <v>454</v>
      </c>
      <c r="F18" s="270">
        <f t="shared" si="0"/>
        <v>1200</v>
      </c>
      <c r="G18" s="296">
        <f t="shared" si="1"/>
        <v>1.1941666666666666E-2</v>
      </c>
      <c r="I18" s="270" t="s">
        <v>899</v>
      </c>
      <c r="J18" s="270">
        <v>30</v>
      </c>
      <c r="K18" s="397" t="s">
        <v>475</v>
      </c>
      <c r="L18" s="269">
        <f t="shared" si="2"/>
        <v>9000</v>
      </c>
      <c r="M18" s="269">
        <f t="shared" si="4"/>
        <v>3.3333333333333335E-3</v>
      </c>
      <c r="O18" s="398" t="s">
        <v>15</v>
      </c>
      <c r="P18" s="399">
        <f>SUM(P16:P17)</f>
        <v>0</v>
      </c>
      <c r="Q18" s="399"/>
      <c r="R18" s="399"/>
      <c r="S18" s="399"/>
      <c r="T18" s="400">
        <f>SUM(T16:T17)</f>
        <v>0</v>
      </c>
    </row>
    <row r="19" spans="1:20">
      <c r="A19" s="392" t="s">
        <v>894</v>
      </c>
      <c r="B19" s="392" t="s">
        <v>483</v>
      </c>
      <c r="C19" s="392" t="s">
        <v>900</v>
      </c>
      <c r="D19" s="393">
        <v>14.57</v>
      </c>
      <c r="E19" s="314" t="s">
        <v>454</v>
      </c>
      <c r="F19" s="270">
        <f t="shared" si="0"/>
        <v>1200</v>
      </c>
      <c r="G19" s="296">
        <f t="shared" si="1"/>
        <v>1.2141666666666667E-2</v>
      </c>
      <c r="I19" s="270" t="s">
        <v>463</v>
      </c>
      <c r="J19" s="270">
        <v>16.739999999999998</v>
      </c>
      <c r="K19" s="270" t="s">
        <v>456</v>
      </c>
      <c r="L19" s="269">
        <f t="shared" si="2"/>
        <v>2700</v>
      </c>
      <c r="M19" s="269">
        <f t="shared" si="4"/>
        <v>6.1999999999999998E-3</v>
      </c>
    </row>
    <row r="20" spans="1:20">
      <c r="A20" s="392" t="s">
        <v>894</v>
      </c>
      <c r="B20" s="392" t="s">
        <v>483</v>
      </c>
      <c r="C20" s="392" t="s">
        <v>901</v>
      </c>
      <c r="D20" s="393">
        <v>14.57</v>
      </c>
      <c r="E20" s="314" t="s">
        <v>454</v>
      </c>
      <c r="F20" s="270">
        <f t="shared" si="0"/>
        <v>1200</v>
      </c>
      <c r="G20" s="296">
        <f t="shared" si="1"/>
        <v>1.2141666666666667E-2</v>
      </c>
      <c r="I20" s="307" t="s">
        <v>15</v>
      </c>
      <c r="J20" s="378">
        <f>SUM(J4:J19)</f>
        <v>16019.11</v>
      </c>
      <c r="K20" s="308"/>
      <c r="L20" s="308"/>
      <c r="M20" s="308">
        <f>SUM(M4:M19)</f>
        <v>1.2221095333333334</v>
      </c>
    </row>
    <row r="21" spans="1:20">
      <c r="A21" s="392" t="s">
        <v>894</v>
      </c>
      <c r="B21" s="392" t="s">
        <v>483</v>
      </c>
      <c r="C21" s="392" t="s">
        <v>802</v>
      </c>
      <c r="D21" s="393">
        <v>16.93</v>
      </c>
      <c r="E21" s="314" t="s">
        <v>454</v>
      </c>
      <c r="F21" s="270">
        <f t="shared" si="0"/>
        <v>1200</v>
      </c>
      <c r="G21" s="296">
        <f t="shared" si="1"/>
        <v>1.4108333333333334E-2</v>
      </c>
      <c r="I21" s="309"/>
      <c r="J21" s="315"/>
      <c r="K21" s="311"/>
      <c r="L21" s="311"/>
      <c r="M21" s="311"/>
      <c r="O21" s="567" t="s">
        <v>55</v>
      </c>
      <c r="P21" s="568"/>
      <c r="Q21" s="568"/>
      <c r="R21" s="568"/>
      <c r="S21" s="569"/>
      <c r="T21" s="316"/>
    </row>
    <row r="22" spans="1:20" ht="26.25">
      <c r="A22" s="392" t="s">
        <v>894</v>
      </c>
      <c r="B22" s="392" t="s">
        <v>483</v>
      </c>
      <c r="C22" s="392" t="s">
        <v>532</v>
      </c>
      <c r="D22" s="393">
        <v>7.75</v>
      </c>
      <c r="E22" s="314" t="s">
        <v>573</v>
      </c>
      <c r="F22" s="270">
        <f t="shared" si="0"/>
        <v>1500</v>
      </c>
      <c r="G22" s="296">
        <f t="shared" si="1"/>
        <v>5.1666666666666666E-3</v>
      </c>
      <c r="I22" s="309"/>
      <c r="J22" s="315"/>
      <c r="K22" s="311"/>
      <c r="L22" s="311"/>
      <c r="M22" s="311"/>
      <c r="O22" s="594" t="s">
        <v>63</v>
      </c>
      <c r="P22" s="434"/>
      <c r="Q22" s="434"/>
      <c r="R22" s="434"/>
      <c r="S22" s="585"/>
      <c r="T22" s="316"/>
    </row>
    <row r="23" spans="1:20">
      <c r="A23" s="392" t="s">
        <v>894</v>
      </c>
      <c r="B23" s="392" t="s">
        <v>483</v>
      </c>
      <c r="C23" s="392" t="s">
        <v>877</v>
      </c>
      <c r="D23" s="393">
        <v>3.51</v>
      </c>
      <c r="E23" s="314" t="s">
        <v>467</v>
      </c>
      <c r="F23" s="270">
        <f t="shared" si="0"/>
        <v>300</v>
      </c>
      <c r="G23" s="296">
        <f t="shared" si="1"/>
        <v>1.1699999999999999E-2</v>
      </c>
      <c r="I23" s="309"/>
      <c r="J23" s="315"/>
      <c r="K23" s="311"/>
      <c r="L23" s="311"/>
      <c r="M23" s="311"/>
      <c r="O23" s="320" t="s">
        <v>445</v>
      </c>
      <c r="P23" s="321" t="s">
        <v>441</v>
      </c>
      <c r="Q23" s="282" t="s">
        <v>442</v>
      </c>
      <c r="R23" s="282" t="s">
        <v>443</v>
      </c>
      <c r="S23" s="283" t="s">
        <v>444</v>
      </c>
      <c r="T23" s="317"/>
    </row>
    <row r="24" spans="1:20" ht="26.25">
      <c r="A24" s="392" t="s">
        <v>894</v>
      </c>
      <c r="B24" s="392" t="s">
        <v>483</v>
      </c>
      <c r="C24" s="392" t="s">
        <v>469</v>
      </c>
      <c r="D24" s="393">
        <v>4.66</v>
      </c>
      <c r="E24" s="314" t="s">
        <v>467</v>
      </c>
      <c r="F24" s="270">
        <f t="shared" si="0"/>
        <v>300</v>
      </c>
      <c r="G24" s="296">
        <f t="shared" si="1"/>
        <v>1.5533333333333333E-2</v>
      </c>
      <c r="I24" s="309"/>
      <c r="J24" s="315"/>
      <c r="K24" s="311"/>
      <c r="L24" s="311"/>
      <c r="M24" s="311"/>
      <c r="O24" s="322" t="s">
        <v>902</v>
      </c>
      <c r="P24" s="323">
        <v>0</v>
      </c>
      <c r="Q24" s="324" t="s">
        <v>48</v>
      </c>
      <c r="R24" s="82">
        <v>450</v>
      </c>
      <c r="S24" s="325">
        <f>P24/R24</f>
        <v>0</v>
      </c>
      <c r="T24" s="319"/>
    </row>
    <row r="25" spans="1:20">
      <c r="A25" s="392" t="s">
        <v>894</v>
      </c>
      <c r="B25" s="392" t="s">
        <v>483</v>
      </c>
      <c r="C25" s="392" t="s">
        <v>466</v>
      </c>
      <c r="D25" s="393">
        <v>4.3899999999999997</v>
      </c>
      <c r="E25" s="314" t="s">
        <v>467</v>
      </c>
      <c r="F25" s="270">
        <f t="shared" si="0"/>
        <v>300</v>
      </c>
      <c r="G25" s="296">
        <f t="shared" si="1"/>
        <v>1.4633333333333332E-2</v>
      </c>
      <c r="I25" s="309"/>
      <c r="J25" s="315"/>
      <c r="K25" s="311"/>
      <c r="L25" s="311"/>
      <c r="M25" s="311"/>
      <c r="O25" s="67"/>
      <c r="P25" s="67"/>
      <c r="Q25" s="67"/>
      <c r="R25" s="67"/>
      <c r="S25" s="67"/>
      <c r="T25" s="67"/>
    </row>
    <row r="26" spans="1:20">
      <c r="A26" s="392" t="s">
        <v>894</v>
      </c>
      <c r="B26" s="392" t="s">
        <v>483</v>
      </c>
      <c r="C26" s="392" t="s">
        <v>903</v>
      </c>
      <c r="D26" s="393">
        <v>3.46</v>
      </c>
      <c r="E26" s="314" t="s">
        <v>454</v>
      </c>
      <c r="F26" s="270">
        <f t="shared" si="0"/>
        <v>1200</v>
      </c>
      <c r="G26" s="296">
        <f t="shared" si="1"/>
        <v>2.8833333333333332E-3</v>
      </c>
      <c r="I26" s="309"/>
      <c r="J26" s="315"/>
      <c r="K26" s="311"/>
      <c r="L26" s="311"/>
      <c r="M26" s="311"/>
    </row>
    <row r="27" spans="1:20">
      <c r="A27" s="392" t="s">
        <v>894</v>
      </c>
      <c r="B27" s="392" t="s">
        <v>483</v>
      </c>
      <c r="C27" s="392" t="s">
        <v>904</v>
      </c>
      <c r="D27" s="393">
        <v>23.23</v>
      </c>
      <c r="E27" s="314" t="s">
        <v>454</v>
      </c>
      <c r="F27" s="270">
        <f t="shared" si="0"/>
        <v>1200</v>
      </c>
      <c r="G27" s="296">
        <f t="shared" si="1"/>
        <v>1.9358333333333335E-2</v>
      </c>
      <c r="I27" s="309"/>
      <c r="J27" s="315"/>
      <c r="K27" s="311"/>
      <c r="L27" s="311"/>
      <c r="M27" s="311"/>
    </row>
    <row r="28" spans="1:20">
      <c r="A28" s="392" t="s">
        <v>894</v>
      </c>
      <c r="B28" s="392" t="s">
        <v>483</v>
      </c>
      <c r="C28" s="392" t="s">
        <v>905</v>
      </c>
      <c r="D28" s="393">
        <v>29.78</v>
      </c>
      <c r="E28" s="314" t="s">
        <v>454</v>
      </c>
      <c r="F28" s="270">
        <f t="shared" si="0"/>
        <v>1200</v>
      </c>
      <c r="G28" s="296">
        <f t="shared" si="1"/>
        <v>2.4816666666666667E-2</v>
      </c>
      <c r="I28" s="309"/>
      <c r="J28" s="315"/>
      <c r="K28" s="311"/>
      <c r="L28" s="311"/>
      <c r="M28" s="311"/>
    </row>
    <row r="29" spans="1:20">
      <c r="A29" s="392" t="s">
        <v>894</v>
      </c>
      <c r="B29" s="392" t="s">
        <v>483</v>
      </c>
      <c r="C29" s="392" t="s">
        <v>906</v>
      </c>
      <c r="D29" s="393">
        <v>60.62</v>
      </c>
      <c r="E29" s="314" t="s">
        <v>454</v>
      </c>
      <c r="F29" s="270">
        <f t="shared" si="0"/>
        <v>1200</v>
      </c>
      <c r="G29" s="296">
        <f t="shared" si="1"/>
        <v>5.0516666666666661E-2</v>
      </c>
      <c r="O29" s="455" t="s">
        <v>55</v>
      </c>
      <c r="P29" s="456"/>
      <c r="Q29" s="456"/>
      <c r="R29" s="456"/>
      <c r="S29" s="456"/>
      <c r="T29" s="608"/>
    </row>
    <row r="30" spans="1:20">
      <c r="A30" s="392" t="s">
        <v>894</v>
      </c>
      <c r="B30" s="392" t="s">
        <v>483</v>
      </c>
      <c r="C30" s="392" t="s">
        <v>907</v>
      </c>
      <c r="D30" s="393">
        <v>60.62</v>
      </c>
      <c r="E30" s="314" t="s">
        <v>454</v>
      </c>
      <c r="F30" s="270">
        <f t="shared" si="0"/>
        <v>1200</v>
      </c>
      <c r="G30" s="296">
        <f t="shared" si="1"/>
        <v>5.0516666666666661E-2</v>
      </c>
      <c r="I30" s="309"/>
      <c r="J30" s="315"/>
      <c r="K30" s="311"/>
      <c r="L30" s="311"/>
      <c r="M30" s="311"/>
      <c r="O30" s="559" t="s">
        <v>17</v>
      </c>
      <c r="P30" s="570" t="s">
        <v>2</v>
      </c>
      <c r="Q30" s="605" t="s">
        <v>435</v>
      </c>
      <c r="R30" s="572" t="s">
        <v>18</v>
      </c>
      <c r="S30" s="605" t="s">
        <v>21</v>
      </c>
      <c r="T30" s="607" t="s">
        <v>22</v>
      </c>
    </row>
    <row r="31" spans="1:20">
      <c r="A31" s="392" t="s">
        <v>894</v>
      </c>
      <c r="B31" s="392" t="s">
        <v>483</v>
      </c>
      <c r="C31" s="392" t="s">
        <v>908</v>
      </c>
      <c r="D31" s="393">
        <v>16.09</v>
      </c>
      <c r="E31" s="314" t="s">
        <v>454</v>
      </c>
      <c r="F31" s="270">
        <f t="shared" si="0"/>
        <v>1200</v>
      </c>
      <c r="G31" s="296">
        <f t="shared" si="1"/>
        <v>1.3408333333333333E-2</v>
      </c>
      <c r="I31" s="309"/>
      <c r="J31" s="315"/>
      <c r="K31" s="311"/>
      <c r="L31" s="311"/>
      <c r="M31" s="311"/>
      <c r="O31" s="524"/>
      <c r="P31" s="437"/>
      <c r="Q31" s="513"/>
      <c r="R31" s="437"/>
      <c r="S31" s="513"/>
      <c r="T31" s="526"/>
    </row>
    <row r="32" spans="1:20">
      <c r="A32" s="392" t="s">
        <v>894</v>
      </c>
      <c r="B32" s="392" t="s">
        <v>483</v>
      </c>
      <c r="C32" s="392" t="s">
        <v>877</v>
      </c>
      <c r="D32" s="393">
        <v>4.34</v>
      </c>
      <c r="E32" s="314" t="s">
        <v>467</v>
      </c>
      <c r="F32" s="270">
        <f t="shared" si="0"/>
        <v>300</v>
      </c>
      <c r="G32" s="296">
        <f t="shared" si="1"/>
        <v>1.4466666666666666E-2</v>
      </c>
      <c r="I32" s="309"/>
      <c r="J32" s="315"/>
      <c r="K32" s="311"/>
      <c r="L32" s="311"/>
      <c r="M32" s="311"/>
      <c r="O32" s="525"/>
      <c r="P32" s="438"/>
      <c r="Q32" s="431"/>
      <c r="R32" s="438"/>
      <c r="S32" s="431"/>
      <c r="T32" s="527"/>
    </row>
    <row r="33" spans="1:20">
      <c r="A33" s="392" t="s">
        <v>894</v>
      </c>
      <c r="B33" s="392" t="s">
        <v>483</v>
      </c>
      <c r="C33" s="392" t="s">
        <v>466</v>
      </c>
      <c r="D33" s="393">
        <v>14.57</v>
      </c>
      <c r="E33" s="314" t="s">
        <v>467</v>
      </c>
      <c r="F33" s="270">
        <f t="shared" si="0"/>
        <v>300</v>
      </c>
      <c r="G33" s="296">
        <f t="shared" si="1"/>
        <v>4.8566666666666668E-2</v>
      </c>
      <c r="I33" s="309"/>
      <c r="J33" s="315"/>
      <c r="K33" s="311"/>
      <c r="L33" s="311"/>
      <c r="M33" s="311"/>
      <c r="O33" s="600" t="s">
        <v>25</v>
      </c>
      <c r="P33" s="326" t="s">
        <v>604</v>
      </c>
      <c r="Q33" s="39">
        <f>SUMIF(E4:E119,"Pisos acarpetados",D4:D119)</f>
        <v>458.74</v>
      </c>
      <c r="R33" s="55">
        <v>1200</v>
      </c>
      <c r="S33" s="597">
        <f>SUM(Q33:Q39)</f>
        <v>5615.54</v>
      </c>
      <c r="T33" s="327">
        <f t="shared" ref="T33:T45" si="6">Q33/R33</f>
        <v>0.38228333333333336</v>
      </c>
    </row>
    <row r="34" spans="1:20">
      <c r="A34" s="392" t="s">
        <v>894</v>
      </c>
      <c r="B34" s="392" t="s">
        <v>483</v>
      </c>
      <c r="C34" s="392" t="s">
        <v>469</v>
      </c>
      <c r="D34" s="393">
        <v>14.57</v>
      </c>
      <c r="E34" s="314" t="s">
        <v>467</v>
      </c>
      <c r="F34" s="270">
        <f t="shared" si="0"/>
        <v>300</v>
      </c>
      <c r="G34" s="296">
        <f t="shared" si="1"/>
        <v>4.8566666666666668E-2</v>
      </c>
      <c r="I34" s="309"/>
      <c r="J34" s="315"/>
      <c r="K34" s="311"/>
      <c r="L34" s="311"/>
      <c r="M34" s="311"/>
      <c r="O34" s="524"/>
      <c r="P34" s="21" t="s">
        <v>51</v>
      </c>
      <c r="Q34" s="266">
        <f>SUMIF(E4:E119,"Pisos frios",D4:D119)</f>
        <v>2030.46</v>
      </c>
      <c r="R34" s="22">
        <v>1200</v>
      </c>
      <c r="S34" s="437"/>
      <c r="T34" s="328">
        <f t="shared" si="6"/>
        <v>1.6920500000000001</v>
      </c>
    </row>
    <row r="35" spans="1:20">
      <c r="A35" s="392" t="s">
        <v>894</v>
      </c>
      <c r="B35" s="392" t="s">
        <v>483</v>
      </c>
      <c r="C35" s="392" t="s">
        <v>517</v>
      </c>
      <c r="D35" s="393">
        <v>4.34</v>
      </c>
      <c r="E35" s="314" t="s">
        <v>454</v>
      </c>
      <c r="F35" s="270">
        <f t="shared" si="0"/>
        <v>1200</v>
      </c>
      <c r="G35" s="296">
        <f t="shared" si="1"/>
        <v>3.6166666666666665E-3</v>
      </c>
      <c r="I35" s="401"/>
      <c r="J35" s="310"/>
      <c r="K35" s="402"/>
      <c r="L35" s="311"/>
      <c r="M35" s="311"/>
      <c r="O35" s="524"/>
      <c r="P35" s="21" t="s">
        <v>30</v>
      </c>
      <c r="Q35" s="266">
        <f>SUMIF(E4:E119,"Laboratórios",D4:D119)</f>
        <v>59.48</v>
      </c>
      <c r="R35" s="27">
        <v>450</v>
      </c>
      <c r="S35" s="437"/>
      <c r="T35" s="328">
        <f t="shared" si="6"/>
        <v>0.13217777777777778</v>
      </c>
    </row>
    <row r="36" spans="1:20" ht="26.25">
      <c r="A36" s="392" t="s">
        <v>894</v>
      </c>
      <c r="B36" s="392" t="s">
        <v>483</v>
      </c>
      <c r="C36" s="392" t="s">
        <v>909</v>
      </c>
      <c r="D36" s="393">
        <v>6.7</v>
      </c>
      <c r="E36" s="314" t="s">
        <v>573</v>
      </c>
      <c r="F36" s="270">
        <f t="shared" si="0"/>
        <v>1500</v>
      </c>
      <c r="G36" s="296">
        <f t="shared" si="1"/>
        <v>4.4666666666666665E-3</v>
      </c>
      <c r="I36" s="401"/>
      <c r="J36" s="310"/>
      <c r="K36" s="402"/>
      <c r="L36" s="311"/>
      <c r="M36" s="311"/>
      <c r="O36" s="524"/>
      <c r="P36" s="21" t="s">
        <v>31</v>
      </c>
      <c r="Q36" s="266">
        <f>SUMIF(E4:E119,"Almoxarifados/galpões",D4:D119)</f>
        <v>279.08999999999997</v>
      </c>
      <c r="R36" s="22">
        <v>2500</v>
      </c>
      <c r="S36" s="437"/>
      <c r="T36" s="328">
        <f t="shared" si="6"/>
        <v>0.11163599999999999</v>
      </c>
    </row>
    <row r="37" spans="1:20">
      <c r="A37" s="392" t="s">
        <v>894</v>
      </c>
      <c r="B37" s="392" t="s">
        <v>483</v>
      </c>
      <c r="C37" s="392" t="s">
        <v>910</v>
      </c>
      <c r="D37" s="393">
        <v>52.07</v>
      </c>
      <c r="E37" s="314" t="s">
        <v>454</v>
      </c>
      <c r="F37" s="270">
        <f t="shared" si="0"/>
        <v>1200</v>
      </c>
      <c r="G37" s="296">
        <f t="shared" si="1"/>
        <v>4.3391666666666669E-2</v>
      </c>
      <c r="I37" s="401"/>
      <c r="J37" s="310"/>
      <c r="K37" s="403"/>
      <c r="L37" s="311"/>
      <c r="M37" s="311"/>
      <c r="O37" s="524"/>
      <c r="P37" s="21" t="s">
        <v>32</v>
      </c>
      <c r="Q37" s="266">
        <f>SUMIF(E4:E119,"Oficinas",D4:D119)</f>
        <v>386.1</v>
      </c>
      <c r="R37" s="22">
        <v>1800</v>
      </c>
      <c r="S37" s="437"/>
      <c r="T37" s="328">
        <f t="shared" si="6"/>
        <v>0.21450000000000002</v>
      </c>
    </row>
    <row r="38" spans="1:20">
      <c r="A38" s="392" t="s">
        <v>894</v>
      </c>
      <c r="B38" s="392" t="s">
        <v>483</v>
      </c>
      <c r="C38" s="392" t="s">
        <v>911</v>
      </c>
      <c r="D38" s="393">
        <v>7.69</v>
      </c>
      <c r="E38" s="314" t="s">
        <v>454</v>
      </c>
      <c r="F38" s="270">
        <f t="shared" si="0"/>
        <v>1200</v>
      </c>
      <c r="G38" s="296">
        <f t="shared" si="1"/>
        <v>6.4083333333333336E-3</v>
      </c>
      <c r="I38" s="401"/>
      <c r="J38" s="310"/>
      <c r="K38" s="310"/>
      <c r="L38" s="311"/>
      <c r="M38" s="311"/>
      <c r="O38" s="524"/>
      <c r="P38" s="21" t="s">
        <v>33</v>
      </c>
      <c r="Q38" s="266">
        <f>SUMIF(E4:E119,"Áreas com espaços livres - saguão hall e salão",D4:D119)</f>
        <v>2114.9899999999998</v>
      </c>
      <c r="R38" s="22">
        <v>1500</v>
      </c>
      <c r="S38" s="437"/>
      <c r="T38" s="328">
        <f t="shared" si="6"/>
        <v>1.4099933333333332</v>
      </c>
    </row>
    <row r="39" spans="1:20">
      <c r="A39" s="392" t="s">
        <v>894</v>
      </c>
      <c r="B39" s="392" t="s">
        <v>483</v>
      </c>
      <c r="C39" s="392" t="s">
        <v>912</v>
      </c>
      <c r="D39" s="393">
        <v>17.18</v>
      </c>
      <c r="E39" s="314" t="s">
        <v>454</v>
      </c>
      <c r="F39" s="270">
        <f t="shared" si="0"/>
        <v>1200</v>
      </c>
      <c r="G39" s="296">
        <f t="shared" si="1"/>
        <v>1.4316666666666667E-2</v>
      </c>
      <c r="I39" s="309"/>
      <c r="J39" s="315"/>
      <c r="K39" s="311"/>
      <c r="L39" s="311"/>
      <c r="M39" s="311"/>
      <c r="O39" s="525"/>
      <c r="P39" s="21" t="s">
        <v>53</v>
      </c>
      <c r="Q39" s="266">
        <f>SUMIF(E4:E119,"Banheiros",D4:D119)</f>
        <v>286.68</v>
      </c>
      <c r="R39" s="27">
        <v>300</v>
      </c>
      <c r="S39" s="438"/>
      <c r="T39" s="328">
        <f t="shared" si="6"/>
        <v>0.9556</v>
      </c>
    </row>
    <row r="40" spans="1:20">
      <c r="A40" s="392" t="s">
        <v>894</v>
      </c>
      <c r="B40" s="392" t="s">
        <v>483</v>
      </c>
      <c r="C40" s="392" t="s">
        <v>913</v>
      </c>
      <c r="D40" s="393">
        <v>11.96</v>
      </c>
      <c r="E40" s="314" t="s">
        <v>454</v>
      </c>
      <c r="F40" s="270">
        <f t="shared" si="0"/>
        <v>1200</v>
      </c>
      <c r="G40" s="296">
        <f t="shared" si="1"/>
        <v>9.9666666666666671E-3</v>
      </c>
      <c r="I40" s="309"/>
      <c r="J40" s="315"/>
      <c r="K40" s="311"/>
      <c r="L40" s="311"/>
      <c r="M40" s="311"/>
      <c r="O40" s="562" t="s">
        <v>36</v>
      </c>
      <c r="P40" s="21" t="s">
        <v>37</v>
      </c>
      <c r="Q40" s="24">
        <f>SUMIF(K4:K63,"Pisos pavimentados adjacentes/contíguos às edificações",J4:J63)</f>
        <v>940.29</v>
      </c>
      <c r="R40" s="22">
        <v>2700</v>
      </c>
      <c r="S40" s="598">
        <f>SUM(Q40:Q45)</f>
        <v>16019.11</v>
      </c>
      <c r="T40" s="328">
        <f t="shared" si="6"/>
        <v>0.34825555555555554</v>
      </c>
    </row>
    <row r="41" spans="1:20">
      <c r="A41" s="392" t="s">
        <v>894</v>
      </c>
      <c r="B41" s="392" t="s">
        <v>483</v>
      </c>
      <c r="C41" s="392" t="s">
        <v>914</v>
      </c>
      <c r="D41" s="393">
        <v>60.62</v>
      </c>
      <c r="E41" s="314" t="s">
        <v>454</v>
      </c>
      <c r="F41" s="270">
        <f t="shared" si="0"/>
        <v>1200</v>
      </c>
      <c r="G41" s="296">
        <f t="shared" si="1"/>
        <v>5.0516666666666661E-2</v>
      </c>
      <c r="I41" s="309"/>
      <c r="J41" s="315"/>
      <c r="K41" s="311"/>
      <c r="L41" s="311"/>
      <c r="M41" s="311"/>
      <c r="O41" s="524"/>
      <c r="P41" s="21" t="s">
        <v>38</v>
      </c>
      <c r="Q41" s="24">
        <f>SUMIF(K4:K63,"Varrição de passeios e arruamentos",J4:J63)</f>
        <v>7151.2</v>
      </c>
      <c r="R41" s="22">
        <v>9000</v>
      </c>
      <c r="S41" s="437"/>
      <c r="T41" s="328">
        <f t="shared" si="6"/>
        <v>0.79457777777777772</v>
      </c>
    </row>
    <row r="42" spans="1:20">
      <c r="A42" s="392" t="s">
        <v>894</v>
      </c>
      <c r="B42" s="392" t="s">
        <v>483</v>
      </c>
      <c r="C42" s="392" t="s">
        <v>915</v>
      </c>
      <c r="D42" s="393">
        <v>60.62</v>
      </c>
      <c r="E42" s="314" t="s">
        <v>454</v>
      </c>
      <c r="F42" s="270">
        <f t="shared" si="0"/>
        <v>1200</v>
      </c>
      <c r="G42" s="296">
        <f t="shared" si="1"/>
        <v>5.0516666666666661E-2</v>
      </c>
      <c r="I42" s="309"/>
      <c r="J42" s="315"/>
      <c r="K42" s="311"/>
      <c r="L42" s="311"/>
      <c r="M42" s="311"/>
      <c r="O42" s="524"/>
      <c r="P42" s="21" t="s">
        <v>39</v>
      </c>
      <c r="Q42" s="24">
        <f>SUMIF(K4:K63,"Pátios e áreas verdes com alta frequência",J4:J63)</f>
        <v>0</v>
      </c>
      <c r="R42" s="22">
        <v>2700</v>
      </c>
      <c r="S42" s="437"/>
      <c r="T42" s="328">
        <f t="shared" si="6"/>
        <v>0</v>
      </c>
    </row>
    <row r="43" spans="1:20">
      <c r="A43" s="392" t="s">
        <v>894</v>
      </c>
      <c r="B43" s="392" t="s">
        <v>483</v>
      </c>
      <c r="C43" s="392" t="s">
        <v>916</v>
      </c>
      <c r="D43" s="393">
        <v>13.74</v>
      </c>
      <c r="E43" s="314" t="s">
        <v>454</v>
      </c>
      <c r="F43" s="270">
        <f t="shared" si="0"/>
        <v>1200</v>
      </c>
      <c r="G43" s="296">
        <f t="shared" si="1"/>
        <v>1.145E-2</v>
      </c>
      <c r="I43" s="309"/>
      <c r="J43" s="315"/>
      <c r="K43" s="311"/>
      <c r="L43" s="311"/>
      <c r="M43" s="311"/>
      <c r="O43" s="524"/>
      <c r="P43" s="21" t="s">
        <v>40</v>
      </c>
      <c r="Q43" s="24">
        <f>SUMIF(K4:K63,"Pátios e áreas verdes com média frequência",J4:J63)</f>
        <v>0</v>
      </c>
      <c r="R43" s="22">
        <v>2700</v>
      </c>
      <c r="S43" s="437"/>
      <c r="T43" s="328">
        <f t="shared" si="6"/>
        <v>0</v>
      </c>
    </row>
    <row r="44" spans="1:20">
      <c r="A44" s="392" t="s">
        <v>894</v>
      </c>
      <c r="B44" s="392" t="s">
        <v>483</v>
      </c>
      <c r="C44" s="392" t="s">
        <v>917</v>
      </c>
      <c r="D44" s="393">
        <v>16.09</v>
      </c>
      <c r="E44" s="314" t="s">
        <v>454</v>
      </c>
      <c r="F44" s="270">
        <f t="shared" si="0"/>
        <v>1200</v>
      </c>
      <c r="G44" s="296">
        <f t="shared" si="1"/>
        <v>1.3408333333333333E-2</v>
      </c>
      <c r="I44" s="309"/>
      <c r="J44" s="315"/>
      <c r="K44" s="311"/>
      <c r="L44" s="311"/>
      <c r="M44" s="311"/>
      <c r="O44" s="524"/>
      <c r="P44" s="21" t="s">
        <v>41</v>
      </c>
      <c r="Q44" s="24">
        <f>SUMIF(K4:K63,"Pátios e áreas verdes com baixa frequência",J4:J63)</f>
        <v>0</v>
      </c>
      <c r="R44" s="22">
        <v>2700</v>
      </c>
      <c r="S44" s="437"/>
      <c r="T44" s="328">
        <f t="shared" si="6"/>
        <v>0</v>
      </c>
    </row>
    <row r="45" spans="1:20">
      <c r="A45" s="392" t="s">
        <v>894</v>
      </c>
      <c r="B45" s="392" t="s">
        <v>483</v>
      </c>
      <c r="C45" s="392" t="s">
        <v>918</v>
      </c>
      <c r="D45" s="393">
        <v>13.05</v>
      </c>
      <c r="E45" s="314" t="s">
        <v>454</v>
      </c>
      <c r="F45" s="270">
        <f t="shared" si="0"/>
        <v>1200</v>
      </c>
      <c r="G45" s="296">
        <f t="shared" si="1"/>
        <v>1.0875000000000001E-2</v>
      </c>
      <c r="I45" s="309"/>
      <c r="J45" s="315"/>
      <c r="K45" s="311"/>
      <c r="L45" s="311"/>
      <c r="M45" s="311"/>
      <c r="O45" s="525"/>
      <c r="P45" s="21" t="s">
        <v>437</v>
      </c>
      <c r="Q45" s="24">
        <f>SUMIF(K4:K63,"coleta de detritos em pátios e áreas verdes com frequência diária",J4:J63)</f>
        <v>7927.62</v>
      </c>
      <c r="R45" s="22">
        <v>100000</v>
      </c>
      <c r="S45" s="438"/>
      <c r="T45" s="328">
        <f t="shared" si="6"/>
        <v>7.9276200000000005E-2</v>
      </c>
    </row>
    <row r="46" spans="1:20">
      <c r="A46" s="392" t="s">
        <v>894</v>
      </c>
      <c r="B46" s="392" t="s">
        <v>483</v>
      </c>
      <c r="C46" s="392" t="s">
        <v>919</v>
      </c>
      <c r="D46" s="393">
        <v>59.48</v>
      </c>
      <c r="E46" s="314" t="s">
        <v>920</v>
      </c>
      <c r="F46" s="270">
        <f t="shared" si="0"/>
        <v>450</v>
      </c>
      <c r="G46" s="296">
        <f t="shared" si="1"/>
        <v>0.13217777777777778</v>
      </c>
      <c r="I46" s="309"/>
      <c r="J46" s="315"/>
      <c r="K46" s="311"/>
      <c r="L46" s="311"/>
      <c r="M46" s="311"/>
      <c r="O46" s="562" t="s">
        <v>43</v>
      </c>
      <c r="P46" s="21" t="s">
        <v>44</v>
      </c>
      <c r="Q46" s="24">
        <f>P17</f>
        <v>0</v>
      </c>
      <c r="R46" s="22">
        <v>160</v>
      </c>
      <c r="S46" s="598">
        <f>SUM(Q46:Q48)</f>
        <v>1454.32</v>
      </c>
      <c r="T46" s="328">
        <f>T17</f>
        <v>0</v>
      </c>
    </row>
    <row r="47" spans="1:20" ht="26.25">
      <c r="A47" s="392" t="s">
        <v>894</v>
      </c>
      <c r="B47" s="392" t="s">
        <v>483</v>
      </c>
      <c r="C47" s="392" t="s">
        <v>532</v>
      </c>
      <c r="D47" s="393">
        <v>461.3</v>
      </c>
      <c r="E47" s="314" t="s">
        <v>573</v>
      </c>
      <c r="F47" s="270">
        <f t="shared" si="0"/>
        <v>1500</v>
      </c>
      <c r="G47" s="296">
        <f t="shared" si="1"/>
        <v>0.30753333333333333</v>
      </c>
      <c r="I47" s="309"/>
      <c r="J47" s="315"/>
      <c r="K47" s="311"/>
      <c r="L47" s="311"/>
      <c r="M47" s="311"/>
      <c r="O47" s="524"/>
      <c r="P47" s="21" t="s">
        <v>45</v>
      </c>
      <c r="Q47" s="24">
        <f>P4</f>
        <v>727.16</v>
      </c>
      <c r="R47" s="22">
        <v>380</v>
      </c>
      <c r="S47" s="437"/>
      <c r="T47" s="328">
        <f>T4</f>
        <v>1.3516361980352613E-2</v>
      </c>
    </row>
    <row r="48" spans="1:20">
      <c r="A48" s="392" t="s">
        <v>894</v>
      </c>
      <c r="B48" s="392" t="s">
        <v>887</v>
      </c>
      <c r="C48" s="392" t="s">
        <v>921</v>
      </c>
      <c r="D48" s="393">
        <v>59.7</v>
      </c>
      <c r="E48" s="314" t="s">
        <v>454</v>
      </c>
      <c r="F48" s="270">
        <f t="shared" si="0"/>
        <v>1200</v>
      </c>
      <c r="G48" s="296">
        <f t="shared" si="1"/>
        <v>4.9750000000000003E-2</v>
      </c>
      <c r="I48" s="309"/>
      <c r="J48" s="315"/>
      <c r="K48" s="311"/>
      <c r="L48" s="311"/>
      <c r="M48" s="311"/>
      <c r="O48" s="525"/>
      <c r="P48" s="21" t="s">
        <v>46</v>
      </c>
      <c r="Q48" s="24">
        <f>P6</f>
        <v>727.16</v>
      </c>
      <c r="R48" s="22">
        <v>380</v>
      </c>
      <c r="S48" s="438"/>
      <c r="T48" s="328">
        <f>T6</f>
        <v>0.16220207224991912</v>
      </c>
    </row>
    <row r="49" spans="1:20">
      <c r="A49" s="392" t="s">
        <v>894</v>
      </c>
      <c r="B49" s="392" t="s">
        <v>887</v>
      </c>
      <c r="C49" s="392" t="s">
        <v>922</v>
      </c>
      <c r="D49" s="393">
        <v>59.7</v>
      </c>
      <c r="E49" s="314" t="s">
        <v>454</v>
      </c>
      <c r="F49" s="270">
        <f t="shared" si="0"/>
        <v>1200</v>
      </c>
      <c r="G49" s="296">
        <f t="shared" si="1"/>
        <v>4.9750000000000003E-2</v>
      </c>
      <c r="I49" s="309"/>
      <c r="J49" s="315"/>
      <c r="K49" s="311"/>
      <c r="L49" s="311"/>
      <c r="M49" s="311"/>
      <c r="O49" s="271" t="s">
        <v>47</v>
      </c>
      <c r="P49" s="21" t="s">
        <v>47</v>
      </c>
      <c r="Q49" s="24">
        <f>P16</f>
        <v>0</v>
      </c>
      <c r="R49" s="22">
        <v>160</v>
      </c>
      <c r="S49" s="332">
        <f t="shared" ref="S49:S50" si="7">Q49</f>
        <v>0</v>
      </c>
      <c r="T49" s="328">
        <f>T16</f>
        <v>0</v>
      </c>
    </row>
    <row r="50" spans="1:20">
      <c r="A50" s="392" t="s">
        <v>894</v>
      </c>
      <c r="B50" s="392" t="s">
        <v>887</v>
      </c>
      <c r="C50" s="392" t="s">
        <v>923</v>
      </c>
      <c r="D50" s="393">
        <v>59.7</v>
      </c>
      <c r="E50" s="314" t="s">
        <v>454</v>
      </c>
      <c r="F50" s="270">
        <f t="shared" si="0"/>
        <v>1200</v>
      </c>
      <c r="G50" s="296">
        <f t="shared" si="1"/>
        <v>4.9750000000000003E-2</v>
      </c>
      <c r="I50" s="309"/>
      <c r="J50" s="315"/>
      <c r="K50" s="311"/>
      <c r="O50" s="271" t="s">
        <v>48</v>
      </c>
      <c r="P50" s="21" t="s">
        <v>48</v>
      </c>
      <c r="Q50" s="24">
        <f>P24</f>
        <v>0</v>
      </c>
      <c r="R50" s="22">
        <v>450</v>
      </c>
      <c r="S50" s="332">
        <f t="shared" si="7"/>
        <v>0</v>
      </c>
      <c r="T50" s="328">
        <f>Q50/R50</f>
        <v>0</v>
      </c>
    </row>
    <row r="51" spans="1:20">
      <c r="A51" s="392" t="s">
        <v>894</v>
      </c>
      <c r="B51" s="392" t="s">
        <v>887</v>
      </c>
      <c r="C51" s="392" t="s">
        <v>924</v>
      </c>
      <c r="D51" s="393">
        <v>59.7</v>
      </c>
      <c r="E51" s="314" t="s">
        <v>454</v>
      </c>
      <c r="F51" s="270">
        <f t="shared" si="0"/>
        <v>1200</v>
      </c>
      <c r="G51" s="296">
        <f t="shared" si="1"/>
        <v>4.9750000000000003E-2</v>
      </c>
      <c r="I51" s="309"/>
      <c r="J51" s="315"/>
      <c r="K51" s="311"/>
      <c r="O51" s="564" t="s">
        <v>15</v>
      </c>
      <c r="P51" s="565"/>
      <c r="Q51" s="565"/>
      <c r="R51" s="566"/>
      <c r="S51" s="333">
        <f>SUM(S33:S50)</f>
        <v>23088.97</v>
      </c>
      <c r="T51" s="334">
        <f>SUM(T33:T50)-T46</f>
        <v>6.296068412008049</v>
      </c>
    </row>
    <row r="52" spans="1:20">
      <c r="A52" s="392" t="s">
        <v>894</v>
      </c>
      <c r="B52" s="392" t="s">
        <v>887</v>
      </c>
      <c r="C52" s="392" t="s">
        <v>925</v>
      </c>
      <c r="D52" s="393">
        <v>59.6</v>
      </c>
      <c r="E52" s="314" t="s">
        <v>454</v>
      </c>
      <c r="F52" s="270">
        <f t="shared" si="0"/>
        <v>1200</v>
      </c>
      <c r="G52" s="296">
        <f t="shared" si="1"/>
        <v>4.9666666666666665E-2</v>
      </c>
      <c r="I52" s="309"/>
      <c r="J52" s="315"/>
      <c r="K52" s="311"/>
      <c r="O52" s="63"/>
      <c r="P52" s="68"/>
      <c r="Q52" s="69"/>
      <c r="R52" s="70"/>
      <c r="S52" s="276"/>
      <c r="T52" s="65"/>
    </row>
    <row r="53" spans="1:20" ht="15.75">
      <c r="A53" s="392" t="s">
        <v>894</v>
      </c>
      <c r="B53" s="392" t="s">
        <v>887</v>
      </c>
      <c r="C53" s="392" t="s">
        <v>926</v>
      </c>
      <c r="D53" s="393">
        <v>60.62</v>
      </c>
      <c r="E53" s="314" t="s">
        <v>454</v>
      </c>
      <c r="F53" s="270">
        <f t="shared" si="0"/>
        <v>1200</v>
      </c>
      <c r="G53" s="296">
        <f t="shared" si="1"/>
        <v>5.0516666666666661E-2</v>
      </c>
      <c r="I53" s="309"/>
      <c r="J53" s="315"/>
      <c r="K53" s="311"/>
      <c r="O53" s="63" t="s">
        <v>612</v>
      </c>
      <c r="P53" s="364">
        <f>D67+D68+D74+D76+D77</f>
        <v>79.47999999999999</v>
      </c>
      <c r="Q53" s="65"/>
      <c r="R53" s="278"/>
      <c r="S53" s="278" t="s">
        <v>49</v>
      </c>
      <c r="T53" s="279">
        <f>ROUND(T51,0)</f>
        <v>6</v>
      </c>
    </row>
    <row r="54" spans="1:20">
      <c r="A54" s="392" t="s">
        <v>894</v>
      </c>
      <c r="B54" s="392" t="s">
        <v>887</v>
      </c>
      <c r="C54" s="392" t="s">
        <v>927</v>
      </c>
      <c r="D54" s="393">
        <v>59.01</v>
      </c>
      <c r="E54" s="314" t="s">
        <v>454</v>
      </c>
      <c r="F54" s="270">
        <f t="shared" si="0"/>
        <v>1200</v>
      </c>
      <c r="G54" s="296">
        <f t="shared" si="1"/>
        <v>4.9174999999999996E-2</v>
      </c>
      <c r="I54" s="309"/>
      <c r="J54" s="315"/>
      <c r="K54" s="311"/>
      <c r="R54" s="278"/>
      <c r="S54" s="278" t="s">
        <v>516</v>
      </c>
      <c r="T54" s="279">
        <f>T49+T46</f>
        <v>0</v>
      </c>
    </row>
    <row r="55" spans="1:20">
      <c r="A55" s="392" t="s">
        <v>894</v>
      </c>
      <c r="B55" s="392" t="s">
        <v>887</v>
      </c>
      <c r="C55" s="392" t="s">
        <v>877</v>
      </c>
      <c r="D55" s="393">
        <v>4.8499999999999996</v>
      </c>
      <c r="E55" s="314" t="s">
        <v>467</v>
      </c>
      <c r="F55" s="270">
        <f t="shared" si="0"/>
        <v>300</v>
      </c>
      <c r="G55" s="296">
        <f t="shared" si="1"/>
        <v>1.6166666666666666E-2</v>
      </c>
      <c r="I55" s="309"/>
      <c r="J55" s="315"/>
      <c r="K55" s="311"/>
    </row>
    <row r="56" spans="1:20">
      <c r="A56" s="392" t="s">
        <v>894</v>
      </c>
      <c r="B56" s="392" t="s">
        <v>887</v>
      </c>
      <c r="C56" s="392" t="s">
        <v>466</v>
      </c>
      <c r="D56" s="393">
        <v>22.12</v>
      </c>
      <c r="E56" s="314" t="s">
        <v>467</v>
      </c>
      <c r="F56" s="270">
        <f t="shared" si="0"/>
        <v>300</v>
      </c>
      <c r="G56" s="296">
        <f t="shared" si="1"/>
        <v>7.3733333333333331E-2</v>
      </c>
      <c r="I56" s="309"/>
      <c r="J56" s="315"/>
      <c r="K56" s="311"/>
    </row>
    <row r="57" spans="1:20">
      <c r="A57" s="392" t="s">
        <v>894</v>
      </c>
      <c r="B57" s="392" t="s">
        <v>887</v>
      </c>
      <c r="C57" s="392" t="s">
        <v>469</v>
      </c>
      <c r="D57" s="393">
        <v>22.94</v>
      </c>
      <c r="E57" s="314" t="s">
        <v>467</v>
      </c>
      <c r="F57" s="270">
        <f t="shared" si="0"/>
        <v>300</v>
      </c>
      <c r="G57" s="296">
        <f t="shared" si="1"/>
        <v>7.6466666666666669E-2</v>
      </c>
      <c r="I57" s="309"/>
      <c r="J57" s="315"/>
      <c r="K57" s="311"/>
      <c r="L57" s="575"/>
      <c r="M57" s="461"/>
      <c r="N57" s="461"/>
      <c r="O57" s="461"/>
      <c r="P57" s="461"/>
      <c r="Q57" s="461"/>
      <c r="R57" s="461"/>
      <c r="S57" s="461"/>
      <c r="T57" s="461"/>
    </row>
    <row r="58" spans="1:20">
      <c r="A58" s="392" t="s">
        <v>894</v>
      </c>
      <c r="B58" s="392" t="s">
        <v>887</v>
      </c>
      <c r="C58" s="392" t="s">
        <v>928</v>
      </c>
      <c r="D58" s="393">
        <v>59.7</v>
      </c>
      <c r="E58" s="314" t="s">
        <v>454</v>
      </c>
      <c r="F58" s="270">
        <f t="shared" si="0"/>
        <v>1200</v>
      </c>
      <c r="G58" s="296">
        <f t="shared" si="1"/>
        <v>4.9750000000000003E-2</v>
      </c>
      <c r="I58" s="309"/>
      <c r="J58" s="315"/>
      <c r="K58" s="311"/>
      <c r="L58" s="460"/>
      <c r="M58" s="460"/>
      <c r="N58" s="578"/>
      <c r="O58" s="460"/>
      <c r="P58" s="578"/>
      <c r="Q58" s="578"/>
      <c r="R58" s="461"/>
      <c r="S58" s="460"/>
      <c r="T58" s="461"/>
    </row>
    <row r="59" spans="1:20">
      <c r="A59" s="392" t="s">
        <v>894</v>
      </c>
      <c r="B59" s="392" t="s">
        <v>887</v>
      </c>
      <c r="C59" s="392" t="s">
        <v>929</v>
      </c>
      <c r="D59" s="393">
        <v>59.7</v>
      </c>
      <c r="E59" s="314" t="s">
        <v>454</v>
      </c>
      <c r="F59" s="270">
        <f t="shared" si="0"/>
        <v>1200</v>
      </c>
      <c r="G59" s="296">
        <f t="shared" si="1"/>
        <v>4.9750000000000003E-2</v>
      </c>
      <c r="I59" s="309"/>
      <c r="J59" s="315"/>
      <c r="K59" s="311"/>
      <c r="L59" s="461"/>
      <c r="M59" s="461"/>
      <c r="N59" s="461"/>
      <c r="O59" s="461"/>
      <c r="P59" s="461"/>
      <c r="Q59" s="460"/>
      <c r="R59" s="578"/>
      <c r="S59" s="460"/>
      <c r="T59" s="578"/>
    </row>
    <row r="60" spans="1:20">
      <c r="A60" s="392" t="s">
        <v>894</v>
      </c>
      <c r="B60" s="392" t="s">
        <v>887</v>
      </c>
      <c r="C60" s="392" t="s">
        <v>930</v>
      </c>
      <c r="D60" s="393">
        <v>59.7</v>
      </c>
      <c r="E60" s="314" t="s">
        <v>454</v>
      </c>
      <c r="F60" s="270">
        <f t="shared" si="0"/>
        <v>1200</v>
      </c>
      <c r="G60" s="296">
        <f t="shared" si="1"/>
        <v>4.9750000000000003E-2</v>
      </c>
      <c r="I60" s="309"/>
      <c r="J60" s="315"/>
      <c r="K60" s="311"/>
      <c r="L60" s="461"/>
      <c r="M60" s="461"/>
      <c r="N60" s="461"/>
      <c r="O60" s="461"/>
      <c r="P60" s="461"/>
      <c r="Q60" s="461"/>
      <c r="R60" s="461"/>
      <c r="S60" s="461"/>
      <c r="T60" s="461"/>
    </row>
    <row r="61" spans="1:20">
      <c r="A61" s="392" t="s">
        <v>894</v>
      </c>
      <c r="B61" s="392" t="s">
        <v>887</v>
      </c>
      <c r="C61" s="392" t="s">
        <v>931</v>
      </c>
      <c r="D61" s="393">
        <v>46.68</v>
      </c>
      <c r="E61" s="314" t="s">
        <v>454</v>
      </c>
      <c r="F61" s="270">
        <f t="shared" si="0"/>
        <v>1200</v>
      </c>
      <c r="G61" s="296">
        <f t="shared" si="1"/>
        <v>3.8899999999999997E-2</v>
      </c>
      <c r="I61" s="309"/>
      <c r="J61" s="315"/>
      <c r="K61" s="311"/>
      <c r="L61" s="460"/>
      <c r="M61" s="384"/>
      <c r="N61" s="385"/>
      <c r="O61" s="386"/>
      <c r="P61" s="387"/>
      <c r="Q61" s="387"/>
      <c r="R61" s="387"/>
      <c r="S61" s="387"/>
      <c r="T61" s="387"/>
    </row>
    <row r="62" spans="1:20">
      <c r="A62" s="392" t="s">
        <v>894</v>
      </c>
      <c r="B62" s="392" t="s">
        <v>887</v>
      </c>
      <c r="C62" s="392" t="s">
        <v>482</v>
      </c>
      <c r="D62" s="393">
        <v>11.9</v>
      </c>
      <c r="E62" s="314" t="s">
        <v>454</v>
      </c>
      <c r="F62" s="270">
        <f t="shared" si="0"/>
        <v>1200</v>
      </c>
      <c r="G62" s="296">
        <f t="shared" si="1"/>
        <v>9.9166666666666674E-3</v>
      </c>
      <c r="I62" s="309"/>
      <c r="J62" s="315"/>
      <c r="K62" s="310"/>
      <c r="L62" s="461"/>
      <c r="M62" s="384"/>
      <c r="N62" s="385"/>
      <c r="O62" s="386"/>
      <c r="P62" s="387"/>
      <c r="Q62" s="387"/>
      <c r="R62" s="387"/>
      <c r="S62" s="387"/>
      <c r="T62" s="387"/>
    </row>
    <row r="63" spans="1:20">
      <c r="A63" s="392" t="s">
        <v>894</v>
      </c>
      <c r="B63" s="392" t="s">
        <v>887</v>
      </c>
      <c r="C63" s="392" t="s">
        <v>932</v>
      </c>
      <c r="D63" s="393">
        <v>59.67</v>
      </c>
      <c r="E63" s="314" t="s">
        <v>454</v>
      </c>
      <c r="F63" s="270">
        <f t="shared" si="0"/>
        <v>1200</v>
      </c>
      <c r="G63" s="296">
        <f t="shared" si="1"/>
        <v>4.9724999999999998E-2</v>
      </c>
      <c r="I63" s="404"/>
      <c r="J63" s="405"/>
      <c r="K63" s="319"/>
      <c r="L63" s="461"/>
      <c r="M63" s="384"/>
      <c r="N63" s="389"/>
      <c r="O63" s="386"/>
      <c r="P63" s="387"/>
      <c r="Q63" s="387"/>
      <c r="R63" s="387"/>
      <c r="S63" s="387"/>
      <c r="T63" s="387"/>
    </row>
    <row r="64" spans="1:20" ht="26.25">
      <c r="A64" s="392" t="s">
        <v>894</v>
      </c>
      <c r="B64" s="392" t="s">
        <v>887</v>
      </c>
      <c r="C64" s="392" t="s">
        <v>532</v>
      </c>
      <c r="D64" s="393">
        <v>265.12</v>
      </c>
      <c r="E64" s="314" t="s">
        <v>573</v>
      </c>
      <c r="F64" s="270">
        <f t="shared" si="0"/>
        <v>1500</v>
      </c>
      <c r="G64" s="296">
        <f t="shared" si="1"/>
        <v>0.17674666666666666</v>
      </c>
      <c r="I64" s="336"/>
      <c r="J64" s="337"/>
      <c r="K64" s="337"/>
      <c r="L64" s="461"/>
      <c r="M64" s="384"/>
      <c r="N64" s="385"/>
      <c r="O64" s="386"/>
      <c r="P64" s="387"/>
      <c r="Q64" s="387"/>
      <c r="R64" s="387"/>
      <c r="S64" s="387"/>
      <c r="T64" s="387"/>
    </row>
    <row r="65" spans="1:20">
      <c r="A65" s="392" t="s">
        <v>894</v>
      </c>
      <c r="B65" s="392" t="s">
        <v>887</v>
      </c>
      <c r="C65" s="392" t="s">
        <v>933</v>
      </c>
      <c r="D65" s="393">
        <v>110.86</v>
      </c>
      <c r="E65" s="314" t="s">
        <v>454</v>
      </c>
      <c r="F65" s="270">
        <f t="shared" si="0"/>
        <v>1200</v>
      </c>
      <c r="G65" s="296">
        <f t="shared" si="1"/>
        <v>9.2383333333333331E-2</v>
      </c>
      <c r="I65" s="67"/>
      <c r="J65" s="67"/>
      <c r="K65" s="67"/>
      <c r="L65" s="461"/>
      <c r="M65" s="384"/>
      <c r="N65" s="385"/>
      <c r="O65" s="386"/>
      <c r="P65" s="387"/>
      <c r="Q65" s="387"/>
      <c r="R65" s="387"/>
      <c r="S65" s="387"/>
      <c r="T65" s="387"/>
    </row>
    <row r="66" spans="1:20">
      <c r="A66" s="392" t="s">
        <v>934</v>
      </c>
      <c r="B66" s="392" t="s">
        <v>483</v>
      </c>
      <c r="C66" s="392" t="s">
        <v>935</v>
      </c>
      <c r="D66" s="393">
        <v>242.2</v>
      </c>
      <c r="E66" s="314" t="s">
        <v>454</v>
      </c>
      <c r="F66" s="270">
        <f t="shared" si="0"/>
        <v>1200</v>
      </c>
      <c r="G66" s="296">
        <f t="shared" si="1"/>
        <v>0.20183333333333334</v>
      </c>
      <c r="L66" s="461"/>
      <c r="M66" s="384"/>
      <c r="N66" s="385"/>
      <c r="O66" s="386"/>
      <c r="P66" s="387"/>
      <c r="Q66" s="387"/>
      <c r="R66" s="387"/>
      <c r="S66" s="387"/>
      <c r="T66" s="387"/>
    </row>
    <row r="67" spans="1:20">
      <c r="A67" s="392" t="s">
        <v>934</v>
      </c>
      <c r="B67" s="392" t="s">
        <v>483</v>
      </c>
      <c r="C67" s="392" t="s">
        <v>936</v>
      </c>
      <c r="D67" s="393">
        <v>4.72</v>
      </c>
      <c r="E67" s="314"/>
      <c r="F67" s="270">
        <f t="shared" si="0"/>
        <v>0</v>
      </c>
      <c r="G67" s="371">
        <v>0</v>
      </c>
      <c r="L67" s="461"/>
      <c r="M67" s="384"/>
      <c r="N67" s="389"/>
      <c r="O67" s="386"/>
      <c r="P67" s="387"/>
      <c r="Q67" s="387"/>
      <c r="R67" s="387"/>
      <c r="S67" s="387"/>
      <c r="T67" s="387"/>
    </row>
    <row r="68" spans="1:20">
      <c r="A68" s="392" t="s">
        <v>934</v>
      </c>
      <c r="B68" s="392" t="s">
        <v>483</v>
      </c>
      <c r="C68" s="392" t="s">
        <v>937</v>
      </c>
      <c r="D68" s="393">
        <v>17.149999999999999</v>
      </c>
      <c r="E68" s="314"/>
      <c r="F68" s="270">
        <f t="shared" si="0"/>
        <v>0</v>
      </c>
      <c r="G68" s="371">
        <v>0</v>
      </c>
      <c r="L68" s="460"/>
      <c r="M68" s="384"/>
      <c r="N68" s="385"/>
      <c r="O68" s="386"/>
      <c r="P68" s="387"/>
      <c r="Q68" s="387"/>
      <c r="R68" s="387"/>
      <c r="S68" s="387"/>
      <c r="T68" s="387"/>
    </row>
    <row r="69" spans="1:20" ht="26.25">
      <c r="A69" s="392" t="s">
        <v>934</v>
      </c>
      <c r="B69" s="392" t="s">
        <v>483</v>
      </c>
      <c r="C69" s="392" t="s">
        <v>532</v>
      </c>
      <c r="D69" s="393">
        <v>5.94</v>
      </c>
      <c r="E69" s="314" t="s">
        <v>573</v>
      </c>
      <c r="F69" s="270">
        <f t="shared" si="0"/>
        <v>1500</v>
      </c>
      <c r="G69" s="296">
        <f t="shared" ref="G69:G73" si="8">D69/F69</f>
        <v>3.96E-3</v>
      </c>
      <c r="L69" s="461"/>
      <c r="M69" s="384"/>
      <c r="N69" s="385"/>
      <c r="O69" s="386"/>
      <c r="P69" s="387"/>
      <c r="Q69" s="387"/>
      <c r="R69" s="387"/>
      <c r="S69" s="387"/>
      <c r="T69" s="387"/>
    </row>
    <row r="70" spans="1:20">
      <c r="A70" s="392" t="s">
        <v>934</v>
      </c>
      <c r="B70" s="392" t="s">
        <v>483</v>
      </c>
      <c r="C70" s="392" t="s">
        <v>938</v>
      </c>
      <c r="D70" s="393">
        <v>19.55</v>
      </c>
      <c r="E70" s="314" t="s">
        <v>467</v>
      </c>
      <c r="F70" s="270">
        <f t="shared" si="0"/>
        <v>300</v>
      </c>
      <c r="G70" s="296">
        <f t="shared" si="8"/>
        <v>6.5166666666666664E-2</v>
      </c>
      <c r="L70" s="461"/>
      <c r="M70" s="384"/>
      <c r="N70" s="385"/>
      <c r="O70" s="386"/>
      <c r="P70" s="387"/>
      <c r="Q70" s="387"/>
      <c r="R70" s="387"/>
      <c r="S70" s="387"/>
      <c r="T70" s="387"/>
    </row>
    <row r="71" spans="1:20">
      <c r="A71" s="392" t="s">
        <v>934</v>
      </c>
      <c r="B71" s="392" t="s">
        <v>483</v>
      </c>
      <c r="C71" s="392" t="s">
        <v>939</v>
      </c>
      <c r="D71" s="393">
        <v>19.55</v>
      </c>
      <c r="E71" s="314" t="s">
        <v>467</v>
      </c>
      <c r="F71" s="270">
        <f t="shared" si="0"/>
        <v>300</v>
      </c>
      <c r="G71" s="296">
        <f t="shared" si="8"/>
        <v>6.5166666666666664E-2</v>
      </c>
      <c r="L71" s="461"/>
      <c r="M71" s="384"/>
      <c r="N71" s="385"/>
      <c r="O71" s="386"/>
      <c r="P71" s="387"/>
      <c r="Q71" s="387"/>
      <c r="R71" s="387"/>
      <c r="S71" s="387"/>
      <c r="T71" s="387"/>
    </row>
    <row r="72" spans="1:20">
      <c r="A72" s="392" t="s">
        <v>934</v>
      </c>
      <c r="B72" s="392" t="s">
        <v>483</v>
      </c>
      <c r="C72" s="392" t="s">
        <v>940</v>
      </c>
      <c r="D72" s="393">
        <v>16.100000000000001</v>
      </c>
      <c r="E72" s="314" t="s">
        <v>454</v>
      </c>
      <c r="F72" s="270">
        <f t="shared" si="0"/>
        <v>1200</v>
      </c>
      <c r="G72" s="296">
        <f t="shared" si="8"/>
        <v>1.3416666666666667E-2</v>
      </c>
      <c r="L72" s="461"/>
      <c r="M72" s="384"/>
      <c r="N72" s="385"/>
      <c r="O72" s="386"/>
      <c r="P72" s="387"/>
      <c r="Q72" s="387"/>
      <c r="R72" s="387"/>
      <c r="S72" s="387"/>
      <c r="T72" s="387"/>
    </row>
    <row r="73" spans="1:20">
      <c r="A73" s="392" t="s">
        <v>934</v>
      </c>
      <c r="B73" s="392" t="s">
        <v>483</v>
      </c>
      <c r="C73" s="392" t="s">
        <v>941</v>
      </c>
      <c r="D73" s="393">
        <v>8.07</v>
      </c>
      <c r="E73" s="314" t="s">
        <v>454</v>
      </c>
      <c r="F73" s="270">
        <f t="shared" si="0"/>
        <v>1200</v>
      </c>
      <c r="G73" s="296">
        <f t="shared" si="8"/>
        <v>6.7250000000000001E-3</v>
      </c>
      <c r="L73" s="461"/>
      <c r="M73" s="384"/>
      <c r="N73" s="385"/>
      <c r="O73" s="386"/>
      <c r="P73" s="387"/>
      <c r="Q73" s="387"/>
      <c r="R73" s="387"/>
      <c r="S73" s="387"/>
      <c r="T73" s="387"/>
    </row>
    <row r="74" spans="1:20">
      <c r="A74" s="392" t="s">
        <v>934</v>
      </c>
      <c r="B74" s="392" t="s">
        <v>483</v>
      </c>
      <c r="C74" s="392" t="s">
        <v>942</v>
      </c>
      <c r="D74" s="393">
        <v>43.55</v>
      </c>
      <c r="E74" s="314"/>
      <c r="F74" s="270">
        <f t="shared" si="0"/>
        <v>0</v>
      </c>
      <c r="G74" s="371">
        <v>0</v>
      </c>
      <c r="L74" s="460"/>
      <c r="M74" s="384"/>
      <c r="N74" s="385"/>
      <c r="O74" s="386"/>
      <c r="P74" s="387"/>
      <c r="Q74" s="387"/>
      <c r="R74" s="387"/>
      <c r="S74" s="387"/>
      <c r="T74" s="387"/>
    </row>
    <row r="75" spans="1:20">
      <c r="A75" s="392" t="s">
        <v>934</v>
      </c>
      <c r="B75" s="392" t="s">
        <v>483</v>
      </c>
      <c r="C75" s="392" t="s">
        <v>943</v>
      </c>
      <c r="D75" s="393">
        <v>36.89</v>
      </c>
      <c r="E75" s="314" t="s">
        <v>489</v>
      </c>
      <c r="F75" s="270">
        <f t="shared" si="0"/>
        <v>2500</v>
      </c>
      <c r="G75" s="296">
        <f>D75/F75</f>
        <v>1.4756E-2</v>
      </c>
      <c r="L75" s="461"/>
      <c r="M75" s="384"/>
      <c r="N75" s="385"/>
      <c r="O75" s="386"/>
      <c r="P75" s="387"/>
      <c r="Q75" s="387"/>
      <c r="R75" s="387"/>
      <c r="S75" s="387"/>
      <c r="T75" s="387"/>
    </row>
    <row r="76" spans="1:20" ht="30">
      <c r="A76" s="392" t="s">
        <v>934</v>
      </c>
      <c r="B76" s="392" t="s">
        <v>483</v>
      </c>
      <c r="C76" s="392" t="s">
        <v>944</v>
      </c>
      <c r="D76" s="393">
        <v>10.55</v>
      </c>
      <c r="E76" s="314"/>
      <c r="F76" s="270">
        <f t="shared" si="0"/>
        <v>0</v>
      </c>
      <c r="G76" s="371">
        <v>0</v>
      </c>
      <c r="L76" s="461"/>
      <c r="M76" s="384"/>
      <c r="N76" s="385"/>
      <c r="O76" s="386"/>
      <c r="P76" s="387"/>
      <c r="Q76" s="387"/>
      <c r="R76" s="387"/>
      <c r="S76" s="387"/>
      <c r="T76" s="387"/>
    </row>
    <row r="77" spans="1:20">
      <c r="A77" s="392" t="s">
        <v>934</v>
      </c>
      <c r="B77" s="392" t="s">
        <v>483</v>
      </c>
      <c r="C77" s="392" t="s">
        <v>945</v>
      </c>
      <c r="D77" s="393">
        <v>3.51</v>
      </c>
      <c r="E77" s="314"/>
      <c r="F77" s="270">
        <f t="shared" si="0"/>
        <v>0</v>
      </c>
      <c r="G77" s="371">
        <v>0</v>
      </c>
      <c r="L77" s="12"/>
      <c r="M77" s="384"/>
      <c r="N77" s="385"/>
      <c r="O77" s="386"/>
      <c r="P77" s="387"/>
      <c r="Q77" s="387"/>
      <c r="R77" s="387"/>
      <c r="S77" s="387"/>
      <c r="T77" s="387"/>
    </row>
    <row r="78" spans="1:20">
      <c r="A78" s="392" t="s">
        <v>934</v>
      </c>
      <c r="B78" s="392" t="s">
        <v>483</v>
      </c>
      <c r="C78" s="392" t="s">
        <v>946</v>
      </c>
      <c r="D78" s="393">
        <v>19.600000000000001</v>
      </c>
      <c r="E78" s="314" t="s">
        <v>454</v>
      </c>
      <c r="F78" s="270">
        <f t="shared" si="0"/>
        <v>1200</v>
      </c>
      <c r="G78" s="296">
        <f t="shared" ref="G78:G119" si="9">D78/F78</f>
        <v>1.6333333333333335E-2</v>
      </c>
      <c r="L78" s="13"/>
      <c r="M78" s="384"/>
      <c r="N78" s="385"/>
      <c r="O78" s="386"/>
      <c r="P78" s="387"/>
      <c r="Q78" s="387"/>
      <c r="R78" s="387"/>
      <c r="S78" s="387"/>
      <c r="T78" s="387"/>
    </row>
    <row r="79" spans="1:20">
      <c r="A79" s="392" t="s">
        <v>934</v>
      </c>
      <c r="B79" s="392" t="s">
        <v>483</v>
      </c>
      <c r="C79" s="392" t="s">
        <v>482</v>
      </c>
      <c r="D79" s="393">
        <v>8.06</v>
      </c>
      <c r="E79" s="314" t="s">
        <v>454</v>
      </c>
      <c r="F79" s="270">
        <f t="shared" si="0"/>
        <v>1200</v>
      </c>
      <c r="G79" s="296">
        <f t="shared" si="9"/>
        <v>6.7166666666666668E-3</v>
      </c>
      <c r="L79" s="460"/>
      <c r="M79" s="461"/>
      <c r="N79" s="461"/>
      <c r="O79" s="338"/>
      <c r="P79" s="12"/>
      <c r="Q79" s="338"/>
      <c r="R79" s="12"/>
      <c r="S79" s="338"/>
      <c r="T79" s="12"/>
    </row>
    <row r="80" spans="1:20">
      <c r="A80" s="392" t="s">
        <v>934</v>
      </c>
      <c r="B80" s="392" t="s">
        <v>483</v>
      </c>
      <c r="C80" s="392" t="s">
        <v>947</v>
      </c>
      <c r="D80" s="393">
        <v>16.37</v>
      </c>
      <c r="E80" s="314" t="s">
        <v>454</v>
      </c>
      <c r="F80" s="270">
        <f t="shared" si="0"/>
        <v>1200</v>
      </c>
      <c r="G80" s="296">
        <f t="shared" si="9"/>
        <v>1.3641666666666668E-2</v>
      </c>
      <c r="L80" s="460"/>
      <c r="M80" s="461"/>
      <c r="N80" s="461"/>
      <c r="O80" s="461"/>
      <c r="P80" s="461"/>
      <c r="Q80" s="461"/>
      <c r="R80" s="72"/>
      <c r="S80" s="339"/>
      <c r="T80" s="72"/>
    </row>
    <row r="81" spans="1:20" ht="26.25">
      <c r="A81" s="392" t="s">
        <v>934</v>
      </c>
      <c r="B81" s="392" t="s">
        <v>483</v>
      </c>
      <c r="C81" s="392" t="s">
        <v>948</v>
      </c>
      <c r="D81" s="393">
        <v>1.8</v>
      </c>
      <c r="E81" s="314" t="s">
        <v>573</v>
      </c>
      <c r="F81" s="270">
        <f t="shared" si="0"/>
        <v>1500</v>
      </c>
      <c r="G81" s="296">
        <f t="shared" si="9"/>
        <v>1.2000000000000001E-3</v>
      </c>
      <c r="L81" s="406"/>
      <c r="M81" s="406"/>
      <c r="N81" s="406"/>
      <c r="O81" s="406"/>
      <c r="P81" s="406"/>
      <c r="Q81" s="406"/>
      <c r="R81" s="406"/>
      <c r="S81" s="406"/>
      <c r="T81" s="406"/>
    </row>
    <row r="82" spans="1:20" ht="26.25">
      <c r="A82" s="392" t="s">
        <v>934</v>
      </c>
      <c r="B82" s="392" t="s">
        <v>483</v>
      </c>
      <c r="C82" s="392" t="s">
        <v>949</v>
      </c>
      <c r="D82" s="393">
        <v>4.09</v>
      </c>
      <c r="E82" s="314" t="s">
        <v>573</v>
      </c>
      <c r="F82" s="270">
        <f t="shared" si="0"/>
        <v>1500</v>
      </c>
      <c r="G82" s="296">
        <f t="shared" si="9"/>
        <v>2.7266666666666667E-3</v>
      </c>
    </row>
    <row r="83" spans="1:20" ht="26.25">
      <c r="A83" s="392" t="s">
        <v>934</v>
      </c>
      <c r="B83" s="392" t="s">
        <v>483</v>
      </c>
      <c r="C83" s="392" t="s">
        <v>950</v>
      </c>
      <c r="D83" s="393">
        <v>7.62</v>
      </c>
      <c r="E83" s="314" t="s">
        <v>573</v>
      </c>
      <c r="F83" s="270">
        <f t="shared" si="0"/>
        <v>1500</v>
      </c>
      <c r="G83" s="296">
        <f t="shared" si="9"/>
        <v>5.0800000000000003E-3</v>
      </c>
    </row>
    <row r="84" spans="1:20">
      <c r="A84" s="392" t="s">
        <v>951</v>
      </c>
      <c r="B84" s="392" t="s">
        <v>483</v>
      </c>
      <c r="C84" s="392" t="s">
        <v>952</v>
      </c>
      <c r="D84" s="393">
        <v>12.24</v>
      </c>
      <c r="E84" s="314" t="s">
        <v>489</v>
      </c>
      <c r="F84" s="270">
        <f t="shared" si="0"/>
        <v>2500</v>
      </c>
      <c r="G84" s="296">
        <f t="shared" si="9"/>
        <v>4.8960000000000002E-3</v>
      </c>
    </row>
    <row r="85" spans="1:20">
      <c r="A85" s="392" t="s">
        <v>951</v>
      </c>
      <c r="B85" s="392" t="s">
        <v>483</v>
      </c>
      <c r="C85" s="392" t="s">
        <v>953</v>
      </c>
      <c r="D85" s="393">
        <v>43.6</v>
      </c>
      <c r="E85" s="314" t="s">
        <v>467</v>
      </c>
      <c r="F85" s="270">
        <f t="shared" si="0"/>
        <v>300</v>
      </c>
      <c r="G85" s="296">
        <f t="shared" si="9"/>
        <v>0.14533333333333334</v>
      </c>
    </row>
    <row r="86" spans="1:20">
      <c r="A86" s="392" t="s">
        <v>951</v>
      </c>
      <c r="B86" s="392" t="s">
        <v>483</v>
      </c>
      <c r="C86" s="392" t="s">
        <v>954</v>
      </c>
      <c r="D86" s="393">
        <v>43.4</v>
      </c>
      <c r="E86" s="314" t="s">
        <v>467</v>
      </c>
      <c r="F86" s="270">
        <f t="shared" si="0"/>
        <v>300</v>
      </c>
      <c r="G86" s="296">
        <f t="shared" si="9"/>
        <v>0.14466666666666667</v>
      </c>
    </row>
    <row r="87" spans="1:20">
      <c r="A87" s="392" t="s">
        <v>951</v>
      </c>
      <c r="B87" s="392" t="s">
        <v>483</v>
      </c>
      <c r="C87" s="392" t="s">
        <v>955</v>
      </c>
      <c r="D87" s="393">
        <v>10.36</v>
      </c>
      <c r="E87" s="314" t="s">
        <v>467</v>
      </c>
      <c r="F87" s="270">
        <f t="shared" si="0"/>
        <v>300</v>
      </c>
      <c r="G87" s="296">
        <f t="shared" si="9"/>
        <v>3.4533333333333333E-2</v>
      </c>
    </row>
    <row r="88" spans="1:20">
      <c r="A88" s="392" t="s">
        <v>951</v>
      </c>
      <c r="B88" s="392" t="s">
        <v>483</v>
      </c>
      <c r="C88" s="392" t="s">
        <v>518</v>
      </c>
      <c r="D88" s="393">
        <v>3.45</v>
      </c>
      <c r="E88" s="314" t="s">
        <v>489</v>
      </c>
      <c r="F88" s="270">
        <f t="shared" si="0"/>
        <v>2500</v>
      </c>
      <c r="G88" s="296">
        <f t="shared" si="9"/>
        <v>1.3800000000000002E-3</v>
      </c>
    </row>
    <row r="89" spans="1:20">
      <c r="A89" s="392" t="s">
        <v>951</v>
      </c>
      <c r="B89" s="392" t="s">
        <v>483</v>
      </c>
      <c r="C89" s="392" t="s">
        <v>956</v>
      </c>
      <c r="D89" s="393">
        <v>7.17</v>
      </c>
      <c r="E89" s="314" t="s">
        <v>489</v>
      </c>
      <c r="F89" s="270">
        <f t="shared" si="0"/>
        <v>2500</v>
      </c>
      <c r="G89" s="296">
        <f t="shared" si="9"/>
        <v>2.8679999999999999E-3</v>
      </c>
    </row>
    <row r="90" spans="1:20" ht="26.25">
      <c r="A90" s="392" t="s">
        <v>951</v>
      </c>
      <c r="B90" s="392" t="s">
        <v>483</v>
      </c>
      <c r="C90" s="392" t="s">
        <v>957</v>
      </c>
      <c r="D90" s="393">
        <v>852.04</v>
      </c>
      <c r="E90" s="314" t="s">
        <v>573</v>
      </c>
      <c r="F90" s="270">
        <f t="shared" si="0"/>
        <v>1500</v>
      </c>
      <c r="G90" s="296">
        <f t="shared" si="9"/>
        <v>0.56802666666666668</v>
      </c>
    </row>
    <row r="91" spans="1:20">
      <c r="A91" s="392" t="s">
        <v>951</v>
      </c>
      <c r="B91" s="392" t="s">
        <v>483</v>
      </c>
      <c r="C91" s="392" t="s">
        <v>909</v>
      </c>
      <c r="D91" s="393">
        <v>8.51</v>
      </c>
      <c r="E91" s="314" t="s">
        <v>454</v>
      </c>
      <c r="F91" s="270">
        <f t="shared" si="0"/>
        <v>1200</v>
      </c>
      <c r="G91" s="296">
        <f t="shared" si="9"/>
        <v>7.0916666666666663E-3</v>
      </c>
    </row>
    <row r="92" spans="1:20">
      <c r="A92" s="392" t="s">
        <v>951</v>
      </c>
      <c r="B92" s="392" t="s">
        <v>887</v>
      </c>
      <c r="C92" s="392" t="s">
        <v>958</v>
      </c>
      <c r="D92" s="393">
        <v>42.8</v>
      </c>
      <c r="E92" s="314" t="s">
        <v>454</v>
      </c>
      <c r="F92" s="270">
        <f t="shared" si="0"/>
        <v>1200</v>
      </c>
      <c r="G92" s="296">
        <f t="shared" si="9"/>
        <v>3.5666666666666666E-2</v>
      </c>
    </row>
    <row r="93" spans="1:20">
      <c r="A93" s="392" t="s">
        <v>951</v>
      </c>
      <c r="B93" s="392" t="s">
        <v>887</v>
      </c>
      <c r="C93" s="392" t="s">
        <v>959</v>
      </c>
      <c r="D93" s="393">
        <v>80.19</v>
      </c>
      <c r="E93" s="314" t="s">
        <v>454</v>
      </c>
      <c r="F93" s="270">
        <f t="shared" si="0"/>
        <v>1200</v>
      </c>
      <c r="G93" s="296">
        <f t="shared" si="9"/>
        <v>6.6824999999999996E-2</v>
      </c>
    </row>
    <row r="94" spans="1:20">
      <c r="A94" s="392" t="s">
        <v>960</v>
      </c>
      <c r="B94" s="392" t="s">
        <v>483</v>
      </c>
      <c r="C94" s="392" t="s">
        <v>961</v>
      </c>
      <c r="D94" s="393">
        <v>82.28</v>
      </c>
      <c r="E94" s="314" t="s">
        <v>962</v>
      </c>
      <c r="F94" s="270">
        <f t="shared" si="0"/>
        <v>1800</v>
      </c>
      <c r="G94" s="296">
        <f t="shared" si="9"/>
        <v>4.5711111111111112E-2</v>
      </c>
    </row>
    <row r="95" spans="1:20">
      <c r="A95" s="392" t="s">
        <v>960</v>
      </c>
      <c r="B95" s="392" t="s">
        <v>483</v>
      </c>
      <c r="C95" s="392" t="s">
        <v>963</v>
      </c>
      <c r="D95" s="393">
        <v>39.31</v>
      </c>
      <c r="E95" s="314" t="s">
        <v>962</v>
      </c>
      <c r="F95" s="270">
        <f t="shared" si="0"/>
        <v>1800</v>
      </c>
      <c r="G95" s="296">
        <f t="shared" si="9"/>
        <v>2.183888888888889E-2</v>
      </c>
    </row>
    <row r="96" spans="1:20">
      <c r="A96" s="392" t="s">
        <v>960</v>
      </c>
      <c r="B96" s="392" t="s">
        <v>483</v>
      </c>
      <c r="C96" s="392" t="s">
        <v>482</v>
      </c>
      <c r="D96" s="393">
        <v>7.78</v>
      </c>
      <c r="E96" s="314" t="s">
        <v>454</v>
      </c>
      <c r="F96" s="270">
        <f t="shared" si="0"/>
        <v>1200</v>
      </c>
      <c r="G96" s="296">
        <f t="shared" si="9"/>
        <v>6.4833333333333331E-3</v>
      </c>
    </row>
    <row r="97" spans="1:7">
      <c r="A97" s="392" t="s">
        <v>960</v>
      </c>
      <c r="B97" s="392" t="s">
        <v>483</v>
      </c>
      <c r="C97" s="392" t="s">
        <v>964</v>
      </c>
      <c r="D97" s="393">
        <v>8.91</v>
      </c>
      <c r="E97" s="314" t="s">
        <v>489</v>
      </c>
      <c r="F97" s="270">
        <f t="shared" si="0"/>
        <v>2500</v>
      </c>
      <c r="G97" s="296">
        <f t="shared" si="9"/>
        <v>3.5639999999999999E-3</v>
      </c>
    </row>
    <row r="98" spans="1:7">
      <c r="A98" s="392" t="s">
        <v>960</v>
      </c>
      <c r="B98" s="392" t="s">
        <v>483</v>
      </c>
      <c r="C98" s="392" t="s">
        <v>965</v>
      </c>
      <c r="D98" s="393">
        <v>81.89</v>
      </c>
      <c r="E98" s="314" t="s">
        <v>454</v>
      </c>
      <c r="F98" s="270">
        <f t="shared" si="0"/>
        <v>1200</v>
      </c>
      <c r="G98" s="296">
        <f t="shared" si="9"/>
        <v>6.8241666666666673E-2</v>
      </c>
    </row>
    <row r="99" spans="1:7">
      <c r="A99" s="392" t="s">
        <v>960</v>
      </c>
      <c r="B99" s="392" t="s">
        <v>483</v>
      </c>
      <c r="C99" s="392" t="s">
        <v>966</v>
      </c>
      <c r="D99" s="393">
        <v>56.23</v>
      </c>
      <c r="E99" s="314" t="s">
        <v>454</v>
      </c>
      <c r="F99" s="270">
        <f t="shared" si="0"/>
        <v>1200</v>
      </c>
      <c r="G99" s="296">
        <f t="shared" si="9"/>
        <v>4.6858333333333328E-2</v>
      </c>
    </row>
    <row r="100" spans="1:7">
      <c r="A100" s="392" t="s">
        <v>960</v>
      </c>
      <c r="B100" s="392" t="s">
        <v>483</v>
      </c>
      <c r="C100" s="392" t="s">
        <v>967</v>
      </c>
      <c r="D100" s="393">
        <v>9.5500000000000007</v>
      </c>
      <c r="E100" s="314" t="s">
        <v>454</v>
      </c>
      <c r="F100" s="270">
        <f t="shared" si="0"/>
        <v>1200</v>
      </c>
      <c r="G100" s="296">
        <f t="shared" si="9"/>
        <v>7.9583333333333346E-3</v>
      </c>
    </row>
    <row r="101" spans="1:7">
      <c r="A101" s="392" t="s">
        <v>960</v>
      </c>
      <c r="B101" s="392" t="s">
        <v>483</v>
      </c>
      <c r="C101" s="392" t="s">
        <v>967</v>
      </c>
      <c r="D101" s="393">
        <v>9.5500000000000007</v>
      </c>
      <c r="E101" s="314" t="s">
        <v>454</v>
      </c>
      <c r="F101" s="270">
        <f t="shared" si="0"/>
        <v>1200</v>
      </c>
      <c r="G101" s="296">
        <f t="shared" si="9"/>
        <v>7.9583333333333346E-3</v>
      </c>
    </row>
    <row r="102" spans="1:7">
      <c r="A102" s="392" t="s">
        <v>960</v>
      </c>
      <c r="B102" s="392" t="s">
        <v>483</v>
      </c>
      <c r="C102" s="392" t="s">
        <v>967</v>
      </c>
      <c r="D102" s="393">
        <v>13.46</v>
      </c>
      <c r="E102" s="314" t="s">
        <v>454</v>
      </c>
      <c r="F102" s="270">
        <f t="shared" si="0"/>
        <v>1200</v>
      </c>
      <c r="G102" s="296">
        <f t="shared" si="9"/>
        <v>1.1216666666666668E-2</v>
      </c>
    </row>
    <row r="103" spans="1:7">
      <c r="A103" s="392" t="s">
        <v>960</v>
      </c>
      <c r="B103" s="392" t="s">
        <v>483</v>
      </c>
      <c r="C103" s="392" t="s">
        <v>968</v>
      </c>
      <c r="D103" s="393">
        <v>13.46</v>
      </c>
      <c r="E103" s="314" t="s">
        <v>454</v>
      </c>
      <c r="F103" s="270">
        <f t="shared" si="0"/>
        <v>1200</v>
      </c>
      <c r="G103" s="296">
        <f t="shared" si="9"/>
        <v>1.1216666666666668E-2</v>
      </c>
    </row>
    <row r="104" spans="1:7">
      <c r="A104" s="392" t="s">
        <v>960</v>
      </c>
      <c r="B104" s="392" t="s">
        <v>483</v>
      </c>
      <c r="C104" s="392" t="s">
        <v>969</v>
      </c>
      <c r="D104" s="393">
        <v>27.65</v>
      </c>
      <c r="E104" s="314" t="s">
        <v>489</v>
      </c>
      <c r="F104" s="270">
        <f t="shared" si="0"/>
        <v>2500</v>
      </c>
      <c r="G104" s="296">
        <f t="shared" si="9"/>
        <v>1.1059999999999999E-2</v>
      </c>
    </row>
    <row r="105" spans="1:7">
      <c r="A105" s="392" t="s">
        <v>960</v>
      </c>
      <c r="B105" s="392" t="s">
        <v>483</v>
      </c>
      <c r="C105" s="392" t="s">
        <v>970</v>
      </c>
      <c r="D105" s="393">
        <v>13.87</v>
      </c>
      <c r="E105" s="314" t="s">
        <v>489</v>
      </c>
      <c r="F105" s="270">
        <f t="shared" si="0"/>
        <v>2500</v>
      </c>
      <c r="G105" s="296">
        <f t="shared" si="9"/>
        <v>5.548E-3</v>
      </c>
    </row>
    <row r="106" spans="1:7" ht="26.25">
      <c r="A106" s="392" t="s">
        <v>960</v>
      </c>
      <c r="B106" s="392" t="s">
        <v>483</v>
      </c>
      <c r="C106" s="392" t="s">
        <v>971</v>
      </c>
      <c r="D106" s="393">
        <v>70.45</v>
      </c>
      <c r="E106" s="314" t="s">
        <v>573</v>
      </c>
      <c r="F106" s="270">
        <f t="shared" si="0"/>
        <v>1500</v>
      </c>
      <c r="G106" s="296">
        <f t="shared" si="9"/>
        <v>4.696666666666667E-2</v>
      </c>
    </row>
    <row r="107" spans="1:7">
      <c r="A107" s="392" t="s">
        <v>960</v>
      </c>
      <c r="B107" s="392" t="s">
        <v>483</v>
      </c>
      <c r="C107" s="392" t="s">
        <v>877</v>
      </c>
      <c r="D107" s="393">
        <v>4.3499999999999996</v>
      </c>
      <c r="E107" s="314" t="s">
        <v>467</v>
      </c>
      <c r="F107" s="270">
        <f t="shared" si="0"/>
        <v>300</v>
      </c>
      <c r="G107" s="296">
        <f t="shared" si="9"/>
        <v>1.4499999999999999E-2</v>
      </c>
    </row>
    <row r="108" spans="1:7">
      <c r="A108" s="392" t="s">
        <v>960</v>
      </c>
      <c r="B108" s="392" t="s">
        <v>483</v>
      </c>
      <c r="C108" s="392" t="s">
        <v>466</v>
      </c>
      <c r="D108" s="393">
        <v>14.57</v>
      </c>
      <c r="E108" s="314" t="s">
        <v>467</v>
      </c>
      <c r="F108" s="270">
        <f t="shared" si="0"/>
        <v>300</v>
      </c>
      <c r="G108" s="296">
        <f t="shared" si="9"/>
        <v>4.8566666666666668E-2</v>
      </c>
    </row>
    <row r="109" spans="1:7">
      <c r="A109" s="392" t="s">
        <v>960</v>
      </c>
      <c r="B109" s="392" t="s">
        <v>483</v>
      </c>
      <c r="C109" s="392" t="s">
        <v>469</v>
      </c>
      <c r="D109" s="393">
        <v>14.57</v>
      </c>
      <c r="E109" s="314" t="s">
        <v>467</v>
      </c>
      <c r="F109" s="270">
        <f t="shared" si="0"/>
        <v>300</v>
      </c>
      <c r="G109" s="296">
        <f t="shared" si="9"/>
        <v>4.8566666666666668E-2</v>
      </c>
    </row>
    <row r="110" spans="1:7">
      <c r="A110" s="392" t="s">
        <v>960</v>
      </c>
      <c r="B110" s="392" t="s">
        <v>483</v>
      </c>
      <c r="C110" s="392" t="s">
        <v>517</v>
      </c>
      <c r="D110" s="393">
        <v>4.3499999999999996</v>
      </c>
      <c r="E110" s="314" t="s">
        <v>489</v>
      </c>
      <c r="F110" s="270">
        <f t="shared" si="0"/>
        <v>2500</v>
      </c>
      <c r="G110" s="296">
        <f t="shared" si="9"/>
        <v>1.7399999999999998E-3</v>
      </c>
    </row>
    <row r="111" spans="1:7" ht="26.25">
      <c r="A111" s="392" t="s">
        <v>960</v>
      </c>
      <c r="B111" s="392" t="s">
        <v>483</v>
      </c>
      <c r="C111" s="392" t="s">
        <v>909</v>
      </c>
      <c r="D111" s="393">
        <v>6.7</v>
      </c>
      <c r="E111" s="314" t="s">
        <v>573</v>
      </c>
      <c r="F111" s="270">
        <f t="shared" si="0"/>
        <v>1500</v>
      </c>
      <c r="G111" s="296">
        <f t="shared" si="9"/>
        <v>4.4666666666666665E-3</v>
      </c>
    </row>
    <row r="112" spans="1:7">
      <c r="A112" s="392" t="s">
        <v>960</v>
      </c>
      <c r="B112" s="392" t="s">
        <v>483</v>
      </c>
      <c r="C112" s="392" t="s">
        <v>972</v>
      </c>
      <c r="D112" s="393">
        <v>264.51</v>
      </c>
      <c r="E112" s="314" t="s">
        <v>962</v>
      </c>
      <c r="F112" s="270">
        <f t="shared" si="0"/>
        <v>1800</v>
      </c>
      <c r="G112" s="296">
        <f t="shared" si="9"/>
        <v>0.14695</v>
      </c>
    </row>
    <row r="113" spans="1:7" ht="26.25">
      <c r="A113" s="392" t="s">
        <v>960</v>
      </c>
      <c r="B113" s="392" t="s">
        <v>483</v>
      </c>
      <c r="C113" s="392" t="s">
        <v>532</v>
      </c>
      <c r="D113" s="393">
        <v>53.4</v>
      </c>
      <c r="E113" s="314" t="s">
        <v>573</v>
      </c>
      <c r="F113" s="270">
        <f t="shared" si="0"/>
        <v>1500</v>
      </c>
      <c r="G113" s="296">
        <f t="shared" si="9"/>
        <v>3.56E-2</v>
      </c>
    </row>
    <row r="114" spans="1:7" ht="26.25">
      <c r="A114" s="392" t="s">
        <v>960</v>
      </c>
      <c r="B114" s="392" t="s">
        <v>483</v>
      </c>
      <c r="C114" s="392" t="s">
        <v>973</v>
      </c>
      <c r="D114" s="393">
        <v>65.040000000000006</v>
      </c>
      <c r="E114" s="314" t="s">
        <v>573</v>
      </c>
      <c r="F114" s="270">
        <f t="shared" si="0"/>
        <v>1500</v>
      </c>
      <c r="G114" s="296">
        <f t="shared" si="9"/>
        <v>4.3360000000000003E-2</v>
      </c>
    </row>
    <row r="115" spans="1:7">
      <c r="A115" s="392" t="s">
        <v>974</v>
      </c>
      <c r="B115" s="392" t="s">
        <v>483</v>
      </c>
      <c r="C115" s="392" t="s">
        <v>974</v>
      </c>
      <c r="D115" s="393">
        <v>3.74</v>
      </c>
      <c r="E115" s="314" t="s">
        <v>454</v>
      </c>
      <c r="F115" s="270">
        <f t="shared" si="0"/>
        <v>1200</v>
      </c>
      <c r="G115" s="296">
        <f t="shared" si="9"/>
        <v>3.1166666666666669E-3</v>
      </c>
    </row>
    <row r="116" spans="1:7">
      <c r="A116" s="392" t="s">
        <v>974</v>
      </c>
      <c r="B116" s="392" t="s">
        <v>483</v>
      </c>
      <c r="C116" s="392" t="s">
        <v>871</v>
      </c>
      <c r="D116" s="393">
        <v>2.64</v>
      </c>
      <c r="E116" s="314" t="s">
        <v>467</v>
      </c>
      <c r="F116" s="270">
        <f t="shared" si="0"/>
        <v>300</v>
      </c>
      <c r="G116" s="296">
        <f t="shared" si="9"/>
        <v>8.8000000000000005E-3</v>
      </c>
    </row>
    <row r="117" spans="1:7">
      <c r="A117" s="392" t="s">
        <v>974</v>
      </c>
      <c r="B117" s="392" t="s">
        <v>483</v>
      </c>
      <c r="C117" s="392" t="s">
        <v>975</v>
      </c>
      <c r="D117" s="393">
        <v>4.4000000000000004</v>
      </c>
      <c r="E117" s="314" t="s">
        <v>454</v>
      </c>
      <c r="F117" s="270">
        <f t="shared" si="0"/>
        <v>1200</v>
      </c>
      <c r="G117" s="296">
        <f t="shared" si="9"/>
        <v>3.666666666666667E-3</v>
      </c>
    </row>
    <row r="118" spans="1:7" ht="15.75">
      <c r="A118" s="407" t="s">
        <v>960</v>
      </c>
      <c r="B118" s="306" t="s">
        <v>976</v>
      </c>
      <c r="C118" s="294" t="s">
        <v>518</v>
      </c>
      <c r="D118" s="270">
        <v>115.2</v>
      </c>
      <c r="E118" s="314" t="s">
        <v>489</v>
      </c>
      <c r="F118" s="270">
        <f t="shared" si="0"/>
        <v>2500</v>
      </c>
      <c r="G118" s="296">
        <f t="shared" si="9"/>
        <v>4.6080000000000003E-2</v>
      </c>
    </row>
    <row r="119" spans="1:7" ht="15.75">
      <c r="A119" s="407" t="s">
        <v>960</v>
      </c>
      <c r="B119" s="306" t="s">
        <v>976</v>
      </c>
      <c r="C119" s="294" t="s">
        <v>977</v>
      </c>
      <c r="D119" s="270">
        <v>60</v>
      </c>
      <c r="E119" s="314" t="s">
        <v>582</v>
      </c>
      <c r="F119" s="270">
        <f t="shared" si="0"/>
        <v>1200</v>
      </c>
      <c r="G119" s="296">
        <f t="shared" si="9"/>
        <v>0.05</v>
      </c>
    </row>
    <row r="120" spans="1:7" ht="15" customHeight="1">
      <c r="A120" s="604" t="s">
        <v>15</v>
      </c>
      <c r="B120" s="565"/>
      <c r="C120" s="566"/>
      <c r="D120" s="341">
        <f>SUM(D4:D119)</f>
        <v>5695.0199999999977</v>
      </c>
      <c r="E120" s="341"/>
      <c r="F120" s="341"/>
      <c r="G120" s="342">
        <f>SUM(G4:G119)</f>
        <v>4.898240444444447</v>
      </c>
    </row>
  </sheetData>
  <mergeCells count="42">
    <mergeCell ref="Q58:R58"/>
    <mergeCell ref="S58:T58"/>
    <mergeCell ref="Q59:Q60"/>
    <mergeCell ref="R59:R60"/>
    <mergeCell ref="S59:S60"/>
    <mergeCell ref="T59:T60"/>
    <mergeCell ref="M58:M60"/>
    <mergeCell ref="N58:N60"/>
    <mergeCell ref="A120:C120"/>
    <mergeCell ref="O58:O60"/>
    <mergeCell ref="P58:P60"/>
    <mergeCell ref="L57:T57"/>
    <mergeCell ref="L58:L60"/>
    <mergeCell ref="A1:G1"/>
    <mergeCell ref="I1:M1"/>
    <mergeCell ref="O1:T1"/>
    <mergeCell ref="A2:G2"/>
    <mergeCell ref="I2:M2"/>
    <mergeCell ref="O2:T2"/>
    <mergeCell ref="O13:T13"/>
    <mergeCell ref="O14:T14"/>
    <mergeCell ref="O21:S21"/>
    <mergeCell ref="O22:S22"/>
    <mergeCell ref="O29:T29"/>
    <mergeCell ref="P30:P32"/>
    <mergeCell ref="Q30:Q32"/>
    <mergeCell ref="T30:T32"/>
    <mergeCell ref="O30:O32"/>
    <mergeCell ref="O33:O39"/>
    <mergeCell ref="O40:O45"/>
    <mergeCell ref="O46:O48"/>
    <mergeCell ref="O51:R51"/>
    <mergeCell ref="L61:L67"/>
    <mergeCell ref="L68:L73"/>
    <mergeCell ref="L74:L76"/>
    <mergeCell ref="L79:N79"/>
    <mergeCell ref="L80:Q80"/>
    <mergeCell ref="R30:R32"/>
    <mergeCell ref="S30:S32"/>
    <mergeCell ref="S33:S39"/>
    <mergeCell ref="S40:S45"/>
    <mergeCell ref="S46:S48"/>
  </mergeCells>
  <dataValidations count="3">
    <dataValidation type="list" allowBlank="1" showInputMessage="1" showErrorMessage="1" prompt="IN 05/2017, ANEXO VI-B, ITEM 3.2" sqref="K4:K15" xr:uid="{00000000-0002-0000-0E00-000000000000}">
      <formula1>"Pisos pavimentados adjacentes/contíguos às edificações,Varrição de passeios e arruamentos,Pátios e áreas verdes com alta frequência,Pátios e áreas verdes com média frequência,Pátios e áreas verdes com baixa frequência,coleta de detritos em pátios e áreas "&amp;"verdes com frequência diária"</formula1>
    </dataValidation>
    <dataValidation type="list" allowBlank="1" showInputMessage="1" showErrorMessage="1" prompt="IN 05/2017 - ANEXO VI-B, item 3.1." sqref="E4:E119" xr:uid="{00000000-0002-0000-0E00-000001000000}">
      <formula1>"Pisos acarpetados,Pisos frios,Laboratórios,Almoxarifados/galpões,Oficinas,Áreas com espaços livres - saguão hall e salão,Banheiros"</formula1>
    </dataValidation>
    <dataValidation type="decimal" operator="greaterThan" allowBlank="1" showDropDown="1" showInputMessage="1" showErrorMessage="1" prompt="Informe um número!" sqref="J15 D4:D119" xr:uid="{00000000-0002-0000-0E00-000002000000}">
      <formula1>0</formula1>
    </dataValidation>
  </dataValidations>
  <pageMargins left="0.39370078740157477" right="0.39370078740157477" top="0" bottom="0" header="0" footer="0"/>
  <pageSetup paperSize="9" fitToHeight="0" pageOrder="overThenDown" orientation="portrait"/>
  <headerFooter>
    <oddHeader>&amp;CANEXO I - P -   ÁREA CAMPUS ESTRUTURAL  (44h Segunda à Sexta)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34A853"/>
    <outlinePr summaryBelow="0" summaryRight="0"/>
    <pageSetUpPr fitToPage="1"/>
  </sheetPr>
  <dimension ref="A1:T97"/>
  <sheetViews>
    <sheetView showGridLines="0" workbookViewId="0">
      <pane ySplit="3" topLeftCell="A56" activePane="bottomLeft" state="frozen"/>
      <selection pane="bottomLeft" activeCell="A4" sqref="A4:XFD80"/>
    </sheetView>
  </sheetViews>
  <sheetFormatPr defaultColWidth="14.42578125" defaultRowHeight="15" customHeight="1"/>
  <cols>
    <col min="1" max="1" width="23.7109375" customWidth="1"/>
    <col min="5" max="5" width="22.140625" customWidth="1"/>
    <col min="6" max="6" width="22.85546875" customWidth="1"/>
    <col min="7" max="7" width="15.5703125" customWidth="1"/>
    <col min="11" max="11" width="54.28515625" customWidth="1"/>
    <col min="12" max="12" width="22.85546875" customWidth="1"/>
    <col min="13" max="13" width="51.42578125" customWidth="1"/>
    <col min="15" max="15" width="37.140625" customWidth="1"/>
    <col min="16" max="16" width="51.42578125" customWidth="1"/>
    <col min="17" max="17" width="16.28515625" customWidth="1"/>
    <col min="18" max="18" width="28.42578125" customWidth="1"/>
    <col min="19" max="19" width="32.85546875" customWidth="1"/>
    <col min="20" max="20" width="36.42578125" customWidth="1"/>
    <col min="21" max="21" width="5.42578125" customWidth="1"/>
  </cols>
  <sheetData>
    <row r="1" spans="1:20">
      <c r="A1" s="610" t="s">
        <v>56</v>
      </c>
      <c r="B1" s="549"/>
      <c r="C1" s="549"/>
      <c r="D1" s="549"/>
      <c r="E1" s="549"/>
      <c r="F1" s="549"/>
      <c r="G1" s="583"/>
      <c r="I1" s="581" t="s">
        <v>56</v>
      </c>
      <c r="J1" s="430"/>
      <c r="K1" s="430"/>
      <c r="L1" s="430"/>
      <c r="M1" s="430"/>
      <c r="O1" s="582" t="s">
        <v>56</v>
      </c>
      <c r="P1" s="549"/>
      <c r="Q1" s="549"/>
      <c r="R1" s="549"/>
      <c r="S1" s="549"/>
      <c r="T1" s="583"/>
    </row>
    <row r="2" spans="1:20">
      <c r="A2" s="611" t="s">
        <v>59</v>
      </c>
      <c r="B2" s="434"/>
      <c r="C2" s="434"/>
      <c r="D2" s="434"/>
      <c r="E2" s="434"/>
      <c r="F2" s="434"/>
      <c r="G2" s="588"/>
      <c r="I2" s="586" t="s">
        <v>60</v>
      </c>
      <c r="J2" s="434"/>
      <c r="K2" s="434"/>
      <c r="L2" s="434"/>
      <c r="M2" s="435"/>
      <c r="O2" s="587" t="s">
        <v>61</v>
      </c>
      <c r="P2" s="434"/>
      <c r="Q2" s="434"/>
      <c r="R2" s="434"/>
      <c r="S2" s="434"/>
      <c r="T2" s="588"/>
    </row>
    <row r="3" spans="1:20">
      <c r="A3" s="408" t="s">
        <v>438</v>
      </c>
      <c r="B3" s="282" t="s">
        <v>439</v>
      </c>
      <c r="C3" s="282" t="s">
        <v>440</v>
      </c>
      <c r="D3" s="282" t="s">
        <v>441</v>
      </c>
      <c r="E3" s="282" t="s">
        <v>442</v>
      </c>
      <c r="F3" s="282" t="s">
        <v>443</v>
      </c>
      <c r="G3" s="409" t="s">
        <v>444</v>
      </c>
      <c r="I3" s="284" t="s">
        <v>445</v>
      </c>
      <c r="J3" s="285" t="s">
        <v>441</v>
      </c>
      <c r="K3" s="286" t="s">
        <v>442</v>
      </c>
      <c r="L3" s="282" t="s">
        <v>443</v>
      </c>
      <c r="M3" s="287" t="s">
        <v>444</v>
      </c>
      <c r="O3" s="288" t="s">
        <v>2</v>
      </c>
      <c r="P3" s="289" t="s">
        <v>446</v>
      </c>
      <c r="Q3" s="289" t="s">
        <v>447</v>
      </c>
      <c r="R3" s="290" t="s">
        <v>448</v>
      </c>
      <c r="S3" s="290" t="s">
        <v>449</v>
      </c>
      <c r="T3" s="291" t="s">
        <v>450</v>
      </c>
    </row>
    <row r="4" spans="1:20" ht="38.25">
      <c r="A4" s="410" t="s">
        <v>773</v>
      </c>
      <c r="B4" s="294" t="s">
        <v>978</v>
      </c>
      <c r="C4" s="294" t="s">
        <v>979</v>
      </c>
      <c r="D4" s="374">
        <v>1.65</v>
      </c>
      <c r="E4" s="314" t="s">
        <v>573</v>
      </c>
      <c r="F4" s="270">
        <f t="shared" ref="F4:F80" si="0">IF(E4="Pisos acarpetados",1200,IF(E4="Pisos frios",1200,IF(E4="Laboratórios",450,IF(E4="Almoxarifados/galpões",2500,IF(E4="Oficinas",1800,IF(E4="Áreas com espaços livres - saguão hall e salão",1500,IF(E4="Banheiros",300,0)))))))</f>
        <v>1500</v>
      </c>
      <c r="G4" s="300">
        <f t="shared" ref="G4:G80" si="1">D4/F4</f>
        <v>1.0999999999999998E-3</v>
      </c>
      <c r="I4" s="346" t="s">
        <v>980</v>
      </c>
      <c r="J4" s="270">
        <v>172.75</v>
      </c>
      <c r="K4" s="270" t="s">
        <v>981</v>
      </c>
      <c r="L4" s="269">
        <f t="shared" ref="L4:L14" si="2">IF(K4="Pisos pavimentados adjacentes/contíguos às edificações",2700,IF(K4="Varrição de passeios e arruamentos",9000,IF(K4="Pátios e áreas verdes com alta frequência",2700,IF(K4="Pátios e áreas verdes com média frequência",2700,IF(K4="Pátios e áreas verdes com baixa frequência",2700,IF(K4="coleta de detritos em pátios e áreas verdes com frequência diária",100000,0))))))</f>
        <v>2700</v>
      </c>
      <c r="M4" s="269">
        <f t="shared" ref="M4:M14" si="3">J4/L4</f>
        <v>6.3981481481481486E-2</v>
      </c>
      <c r="O4" s="297" t="s">
        <v>982</v>
      </c>
      <c r="P4" s="347">
        <v>738.67</v>
      </c>
      <c r="Q4" s="270">
        <v>380</v>
      </c>
      <c r="R4" s="270">
        <v>8</v>
      </c>
      <c r="S4" s="299">
        <v>1132.5999999999999</v>
      </c>
      <c r="T4" s="300">
        <f>(P4*R4)/(Q4*S4)</f>
        <v>1.373030846584942E-2</v>
      </c>
    </row>
    <row r="5" spans="1:20" ht="30">
      <c r="A5" s="410" t="s">
        <v>773</v>
      </c>
      <c r="B5" s="294" t="s">
        <v>978</v>
      </c>
      <c r="C5" s="294" t="s">
        <v>983</v>
      </c>
      <c r="D5" s="374">
        <v>1.65</v>
      </c>
      <c r="E5" s="314" t="s">
        <v>573</v>
      </c>
      <c r="F5" s="270">
        <f t="shared" si="0"/>
        <v>1500</v>
      </c>
      <c r="G5" s="300">
        <f t="shared" si="1"/>
        <v>1.0999999999999998E-3</v>
      </c>
      <c r="I5" s="346" t="s">
        <v>984</v>
      </c>
      <c r="J5" s="270">
        <v>140.13999999999999</v>
      </c>
      <c r="K5" s="270" t="s">
        <v>981</v>
      </c>
      <c r="L5" s="269">
        <f t="shared" si="2"/>
        <v>2700</v>
      </c>
      <c r="M5" s="269">
        <f t="shared" si="3"/>
        <v>5.1903703703703702E-2</v>
      </c>
      <c r="O5" s="288" t="s">
        <v>2</v>
      </c>
      <c r="P5" s="289" t="s">
        <v>446</v>
      </c>
      <c r="Q5" s="289" t="s">
        <v>447</v>
      </c>
      <c r="R5" s="302" t="s">
        <v>461</v>
      </c>
      <c r="S5" s="302" t="s">
        <v>462</v>
      </c>
      <c r="T5" s="291" t="s">
        <v>450</v>
      </c>
    </row>
    <row r="6" spans="1:20" ht="12.75">
      <c r="A6" s="410" t="s">
        <v>773</v>
      </c>
      <c r="B6" s="294" t="s">
        <v>978</v>
      </c>
      <c r="C6" s="294" t="s">
        <v>693</v>
      </c>
      <c r="D6" s="79">
        <v>25.27</v>
      </c>
      <c r="E6" s="314" t="s">
        <v>454</v>
      </c>
      <c r="F6" s="270">
        <f t="shared" si="0"/>
        <v>1200</v>
      </c>
      <c r="G6" s="300">
        <f t="shared" si="1"/>
        <v>2.1058333333333332E-2</v>
      </c>
      <c r="I6" s="346" t="s">
        <v>985</v>
      </c>
      <c r="J6" s="299">
        <v>3281.11</v>
      </c>
      <c r="K6" s="270" t="s">
        <v>981</v>
      </c>
      <c r="L6" s="269">
        <f t="shared" si="2"/>
        <v>2700</v>
      </c>
      <c r="M6" s="269">
        <f t="shared" si="3"/>
        <v>1.2152259259259259</v>
      </c>
      <c r="O6" s="297" t="s">
        <v>465</v>
      </c>
      <c r="P6" s="347">
        <v>738.67</v>
      </c>
      <c r="Q6" s="270">
        <v>380</v>
      </c>
      <c r="R6" s="270">
        <v>16</v>
      </c>
      <c r="S6" s="270">
        <v>188.76</v>
      </c>
      <c r="T6" s="300">
        <f>(P6*R6)/(Q6*S6)</f>
        <v>0.16476952075038198</v>
      </c>
    </row>
    <row r="7" spans="1:20" ht="12.75">
      <c r="A7" s="410" t="s">
        <v>773</v>
      </c>
      <c r="B7" s="294" t="s">
        <v>978</v>
      </c>
      <c r="C7" s="294" t="s">
        <v>986</v>
      </c>
      <c r="D7" s="79">
        <v>8.6999999999999993</v>
      </c>
      <c r="E7" s="314" t="s">
        <v>920</v>
      </c>
      <c r="F7" s="270">
        <f t="shared" si="0"/>
        <v>450</v>
      </c>
      <c r="G7" s="300">
        <f t="shared" si="1"/>
        <v>1.9333333333333331E-2</v>
      </c>
      <c r="I7" s="346" t="s">
        <v>987</v>
      </c>
      <c r="J7" s="299">
        <v>1139.33</v>
      </c>
      <c r="K7" s="270" t="s">
        <v>460</v>
      </c>
      <c r="L7" s="269">
        <f t="shared" si="2"/>
        <v>2700</v>
      </c>
      <c r="M7" s="269">
        <f t="shared" si="3"/>
        <v>0.42197407407407406</v>
      </c>
      <c r="O7" s="398" t="s">
        <v>15</v>
      </c>
      <c r="P7" s="411">
        <f>P4+P6</f>
        <v>1477.34</v>
      </c>
      <c r="Q7" s="399"/>
      <c r="R7" s="399"/>
      <c r="S7" s="399"/>
      <c r="T7" s="400">
        <f>T4+T6</f>
        <v>0.17849982921623139</v>
      </c>
    </row>
    <row r="8" spans="1:20" ht="25.5">
      <c r="A8" s="410" t="s">
        <v>773</v>
      </c>
      <c r="B8" s="294" t="s">
        <v>978</v>
      </c>
      <c r="C8" s="294" t="s">
        <v>988</v>
      </c>
      <c r="D8" s="79">
        <v>44.88</v>
      </c>
      <c r="E8" s="314" t="s">
        <v>454</v>
      </c>
      <c r="F8" s="270">
        <f t="shared" si="0"/>
        <v>1200</v>
      </c>
      <c r="G8" s="300">
        <f t="shared" si="1"/>
        <v>3.7400000000000003E-2</v>
      </c>
      <c r="I8" s="346" t="s">
        <v>989</v>
      </c>
      <c r="J8" s="270">
        <v>194.4</v>
      </c>
      <c r="K8" s="270" t="s">
        <v>475</v>
      </c>
      <c r="L8" s="269">
        <f t="shared" si="2"/>
        <v>9000</v>
      </c>
      <c r="M8" s="269">
        <f t="shared" si="3"/>
        <v>2.1600000000000001E-2</v>
      </c>
      <c r="O8" s="354"/>
      <c r="Q8" s="310"/>
      <c r="R8" s="310"/>
      <c r="S8" s="310"/>
      <c r="T8" s="311"/>
    </row>
    <row r="9" spans="1:20" ht="38.25">
      <c r="A9" s="410" t="s">
        <v>773</v>
      </c>
      <c r="B9" s="294" t="s">
        <v>978</v>
      </c>
      <c r="C9" s="294" t="s">
        <v>990</v>
      </c>
      <c r="D9" s="79">
        <v>12.71</v>
      </c>
      <c r="E9" s="314" t="s">
        <v>454</v>
      </c>
      <c r="F9" s="270">
        <f t="shared" si="0"/>
        <v>1200</v>
      </c>
      <c r="G9" s="300">
        <f t="shared" si="1"/>
        <v>1.0591666666666668E-2</v>
      </c>
      <c r="I9" s="346" t="s">
        <v>991</v>
      </c>
      <c r="J9" s="270">
        <v>80.34</v>
      </c>
      <c r="K9" s="270" t="s">
        <v>475</v>
      </c>
      <c r="L9" s="269">
        <f t="shared" si="2"/>
        <v>9000</v>
      </c>
      <c r="M9" s="269">
        <f t="shared" si="3"/>
        <v>8.9266666666666678E-3</v>
      </c>
      <c r="O9" s="354"/>
      <c r="Q9" s="310"/>
      <c r="R9" s="310"/>
      <c r="S9" s="310"/>
      <c r="T9" s="311"/>
    </row>
    <row r="10" spans="1:20" ht="26.25">
      <c r="A10" s="410" t="s">
        <v>773</v>
      </c>
      <c r="B10" s="294" t="s">
        <v>978</v>
      </c>
      <c r="C10" s="294" t="s">
        <v>788</v>
      </c>
      <c r="D10" s="79">
        <v>1.9</v>
      </c>
      <c r="E10" s="314" t="s">
        <v>454</v>
      </c>
      <c r="F10" s="270">
        <f t="shared" si="0"/>
        <v>1200</v>
      </c>
      <c r="G10" s="300">
        <f t="shared" si="1"/>
        <v>1.5833333333333333E-3</v>
      </c>
      <c r="I10" s="346" t="s">
        <v>992</v>
      </c>
      <c r="J10" s="270">
        <v>788.07</v>
      </c>
      <c r="K10" s="270" t="s">
        <v>475</v>
      </c>
      <c r="L10" s="269">
        <f t="shared" si="2"/>
        <v>9000</v>
      </c>
      <c r="M10" s="269">
        <f t="shared" si="3"/>
        <v>8.756333333333334E-2</v>
      </c>
      <c r="O10" s="589" t="s">
        <v>56</v>
      </c>
      <c r="P10" s="568"/>
      <c r="Q10" s="568"/>
      <c r="R10" s="568"/>
      <c r="S10" s="568"/>
      <c r="T10" s="569"/>
    </row>
    <row r="11" spans="1:20">
      <c r="A11" s="410" t="s">
        <v>773</v>
      </c>
      <c r="B11" s="294" t="s">
        <v>978</v>
      </c>
      <c r="C11" s="294" t="s">
        <v>993</v>
      </c>
      <c r="D11" s="79">
        <v>160.38999999999999</v>
      </c>
      <c r="E11" s="314" t="s">
        <v>454</v>
      </c>
      <c r="F11" s="270">
        <f t="shared" si="0"/>
        <v>1200</v>
      </c>
      <c r="G11" s="300">
        <f t="shared" si="1"/>
        <v>0.13365833333333332</v>
      </c>
      <c r="I11" s="346" t="s">
        <v>994</v>
      </c>
      <c r="J11" s="270">
        <v>28.22</v>
      </c>
      <c r="K11" s="270" t="s">
        <v>475</v>
      </c>
      <c r="L11" s="269">
        <f t="shared" si="2"/>
        <v>9000</v>
      </c>
      <c r="M11" s="269">
        <f t="shared" si="3"/>
        <v>3.1355555555555555E-3</v>
      </c>
      <c r="O11" s="612" t="s">
        <v>62</v>
      </c>
      <c r="P11" s="434"/>
      <c r="Q11" s="434"/>
      <c r="R11" s="434"/>
      <c r="S11" s="434"/>
      <c r="T11" s="435"/>
    </row>
    <row r="12" spans="1:20" ht="30">
      <c r="A12" s="410" t="s">
        <v>773</v>
      </c>
      <c r="B12" s="294" t="s">
        <v>978</v>
      </c>
      <c r="C12" s="294" t="s">
        <v>995</v>
      </c>
      <c r="D12" s="79">
        <v>5.86</v>
      </c>
      <c r="E12" s="314" t="s">
        <v>467</v>
      </c>
      <c r="F12" s="270">
        <f t="shared" si="0"/>
        <v>300</v>
      </c>
      <c r="G12" s="300">
        <f t="shared" si="1"/>
        <v>1.9533333333333333E-2</v>
      </c>
      <c r="I12" s="346" t="s">
        <v>994</v>
      </c>
      <c r="J12" s="270">
        <v>27.82</v>
      </c>
      <c r="K12" s="270" t="s">
        <v>475</v>
      </c>
      <c r="L12" s="269">
        <f t="shared" si="2"/>
        <v>9000</v>
      </c>
      <c r="M12" s="269">
        <f t="shared" si="3"/>
        <v>3.0911111111111113E-3</v>
      </c>
      <c r="O12" s="289" t="s">
        <v>2</v>
      </c>
      <c r="P12" s="289" t="s">
        <v>446</v>
      </c>
      <c r="Q12" s="289" t="s">
        <v>447</v>
      </c>
      <c r="R12" s="290" t="s">
        <v>448</v>
      </c>
      <c r="S12" s="290" t="s">
        <v>449</v>
      </c>
      <c r="T12" s="290" t="s">
        <v>478</v>
      </c>
    </row>
    <row r="13" spans="1:20" ht="25.5">
      <c r="A13" s="410" t="s">
        <v>773</v>
      </c>
      <c r="B13" s="294" t="s">
        <v>978</v>
      </c>
      <c r="C13" s="294" t="s">
        <v>996</v>
      </c>
      <c r="D13" s="79">
        <v>5.86</v>
      </c>
      <c r="E13" s="314" t="s">
        <v>467</v>
      </c>
      <c r="F13" s="270">
        <f t="shared" si="0"/>
        <v>300</v>
      </c>
      <c r="G13" s="300">
        <f t="shared" si="1"/>
        <v>1.9533333333333333E-2</v>
      </c>
      <c r="I13" s="355" t="s">
        <v>997</v>
      </c>
      <c r="J13" s="351">
        <v>31.68</v>
      </c>
      <c r="K13" s="351" t="s">
        <v>475</v>
      </c>
      <c r="L13" s="412">
        <f t="shared" si="2"/>
        <v>9000</v>
      </c>
      <c r="M13" s="412">
        <f t="shared" si="3"/>
        <v>3.5200000000000001E-3</v>
      </c>
      <c r="O13" s="270" t="s">
        <v>47</v>
      </c>
      <c r="P13" s="298">
        <v>0</v>
      </c>
      <c r="Q13" s="270">
        <v>160</v>
      </c>
      <c r="R13" s="270">
        <v>8</v>
      </c>
      <c r="S13" s="299">
        <v>1132.5999999999999</v>
      </c>
      <c r="T13" s="269">
        <f t="shared" ref="T13:T14" si="4">(P13*R13)/(Q13*S13)</f>
        <v>0</v>
      </c>
    </row>
    <row r="14" spans="1:20" ht="38.25">
      <c r="A14" s="410" t="s">
        <v>773</v>
      </c>
      <c r="B14" s="294" t="s">
        <v>978</v>
      </c>
      <c r="C14" s="294" t="s">
        <v>998</v>
      </c>
      <c r="D14" s="79">
        <v>4.5199999999999996</v>
      </c>
      <c r="E14" s="314" t="s">
        <v>467</v>
      </c>
      <c r="F14" s="270">
        <f t="shared" si="0"/>
        <v>300</v>
      </c>
      <c r="G14" s="300">
        <f t="shared" si="1"/>
        <v>1.5066666666666666E-2</v>
      </c>
      <c r="I14" s="346" t="s">
        <v>999</v>
      </c>
      <c r="J14" s="270">
        <v>198.22</v>
      </c>
      <c r="K14" s="270" t="s">
        <v>475</v>
      </c>
      <c r="L14" s="269">
        <f t="shared" si="2"/>
        <v>9000</v>
      </c>
      <c r="M14" s="269">
        <f t="shared" si="3"/>
        <v>2.2024444444444444E-2</v>
      </c>
      <c r="O14" s="314" t="s">
        <v>793</v>
      </c>
      <c r="P14" s="298">
        <v>0</v>
      </c>
      <c r="Q14" s="270">
        <v>160</v>
      </c>
      <c r="R14" s="270">
        <v>8</v>
      </c>
      <c r="S14" s="299">
        <v>1132.5999999999999</v>
      </c>
      <c r="T14" s="269">
        <f t="shared" si="4"/>
        <v>0</v>
      </c>
    </row>
    <row r="15" spans="1:20" ht="12.75">
      <c r="A15" s="410" t="s">
        <v>773</v>
      </c>
      <c r="B15" s="294" t="s">
        <v>978</v>
      </c>
      <c r="C15" s="294" t="s">
        <v>1000</v>
      </c>
      <c r="D15" s="79">
        <v>1.71</v>
      </c>
      <c r="E15" s="314" t="s">
        <v>467</v>
      </c>
      <c r="F15" s="270">
        <f t="shared" si="0"/>
        <v>300</v>
      </c>
      <c r="G15" s="300">
        <f t="shared" si="1"/>
        <v>5.7000000000000002E-3</v>
      </c>
      <c r="I15" s="307" t="s">
        <v>15</v>
      </c>
      <c r="J15" s="378">
        <f>SUM(J4:J14)</f>
        <v>6082.08</v>
      </c>
      <c r="K15" s="308"/>
      <c r="L15" s="308"/>
      <c r="M15" s="308">
        <f>SUM(M4:M14)</f>
        <v>1.9029462962962964</v>
      </c>
      <c r="O15" s="413" t="s">
        <v>15</v>
      </c>
      <c r="P15" s="414">
        <f>P13+P14</f>
        <v>0</v>
      </c>
      <c r="Q15" s="414"/>
      <c r="R15" s="414"/>
      <c r="S15" s="414"/>
      <c r="T15" s="414">
        <f>T13+T14</f>
        <v>0</v>
      </c>
    </row>
    <row r="16" spans="1:20" ht="12.75">
      <c r="A16" s="410" t="s">
        <v>870</v>
      </c>
      <c r="B16" s="294" t="s">
        <v>978</v>
      </c>
      <c r="C16" s="294" t="s">
        <v>1001</v>
      </c>
      <c r="D16" s="79">
        <v>3.74</v>
      </c>
      <c r="E16" s="314" t="s">
        <v>454</v>
      </c>
      <c r="F16" s="270">
        <f t="shared" si="0"/>
        <v>1200</v>
      </c>
      <c r="G16" s="300">
        <f t="shared" si="1"/>
        <v>3.1166666666666669E-3</v>
      </c>
      <c r="I16" s="361"/>
      <c r="J16" s="310"/>
      <c r="K16" s="310"/>
      <c r="L16" s="311"/>
      <c r="M16" s="311"/>
    </row>
    <row r="17" spans="1:20">
      <c r="A17" s="410" t="s">
        <v>870</v>
      </c>
      <c r="B17" s="294" t="s">
        <v>978</v>
      </c>
      <c r="C17" s="294" t="s">
        <v>576</v>
      </c>
      <c r="D17" s="79">
        <v>2.64</v>
      </c>
      <c r="E17" s="314" t="s">
        <v>467</v>
      </c>
      <c r="F17" s="270">
        <f t="shared" si="0"/>
        <v>300</v>
      </c>
      <c r="G17" s="300">
        <f t="shared" si="1"/>
        <v>8.8000000000000005E-3</v>
      </c>
      <c r="I17" s="361"/>
      <c r="J17" s="315"/>
      <c r="K17" s="311"/>
      <c r="L17" s="311"/>
      <c r="M17" s="311"/>
      <c r="T17" s="316"/>
    </row>
    <row r="18" spans="1:20">
      <c r="A18" s="410" t="s">
        <v>870</v>
      </c>
      <c r="B18" s="294" t="s">
        <v>978</v>
      </c>
      <c r="C18" s="294" t="s">
        <v>986</v>
      </c>
      <c r="D18" s="79">
        <v>4.4000000000000004</v>
      </c>
      <c r="E18" s="314" t="s">
        <v>920</v>
      </c>
      <c r="F18" s="270">
        <f t="shared" si="0"/>
        <v>450</v>
      </c>
      <c r="G18" s="300">
        <f t="shared" si="1"/>
        <v>9.7777777777777793E-3</v>
      </c>
      <c r="I18" s="361"/>
      <c r="J18" s="315"/>
      <c r="K18" s="311"/>
      <c r="L18" s="311"/>
      <c r="M18" s="311"/>
      <c r="O18" s="567" t="s">
        <v>56</v>
      </c>
      <c r="P18" s="568"/>
      <c r="Q18" s="568"/>
      <c r="R18" s="568"/>
      <c r="S18" s="569"/>
      <c r="T18" s="317"/>
    </row>
    <row r="19" spans="1:20" ht="12.75">
      <c r="A19" s="410" t="s">
        <v>1002</v>
      </c>
      <c r="B19" s="294" t="s">
        <v>978</v>
      </c>
      <c r="C19" s="294" t="s">
        <v>576</v>
      </c>
      <c r="D19" s="79">
        <v>4.99</v>
      </c>
      <c r="E19" s="314" t="s">
        <v>467</v>
      </c>
      <c r="F19" s="270">
        <f t="shared" si="0"/>
        <v>300</v>
      </c>
      <c r="G19" s="300">
        <f t="shared" si="1"/>
        <v>1.6633333333333333E-2</v>
      </c>
      <c r="I19" s="361"/>
      <c r="J19" s="315"/>
      <c r="K19" s="311"/>
      <c r="L19" s="311"/>
      <c r="M19" s="311"/>
      <c r="O19" s="594" t="s">
        <v>63</v>
      </c>
      <c r="P19" s="434"/>
      <c r="Q19" s="434"/>
      <c r="R19" s="434"/>
      <c r="S19" s="585"/>
      <c r="T19" s="319"/>
    </row>
    <row r="20" spans="1:20" ht="12.75">
      <c r="A20" s="410" t="s">
        <v>1002</v>
      </c>
      <c r="B20" s="294" t="s">
        <v>978</v>
      </c>
      <c r="C20" s="294" t="s">
        <v>1003</v>
      </c>
      <c r="D20" s="79">
        <v>10.39</v>
      </c>
      <c r="E20" s="314" t="s">
        <v>454</v>
      </c>
      <c r="F20" s="270">
        <f t="shared" si="0"/>
        <v>1200</v>
      </c>
      <c r="G20" s="300">
        <f t="shared" si="1"/>
        <v>8.6583333333333339E-3</v>
      </c>
      <c r="I20" s="361"/>
      <c r="J20" s="315"/>
      <c r="K20" s="311"/>
      <c r="L20" s="311"/>
      <c r="M20" s="311"/>
      <c r="O20" s="320" t="s">
        <v>445</v>
      </c>
      <c r="P20" s="321" t="s">
        <v>441</v>
      </c>
      <c r="Q20" s="282" t="s">
        <v>442</v>
      </c>
      <c r="R20" s="282" t="s">
        <v>443</v>
      </c>
      <c r="S20" s="283" t="s">
        <v>444</v>
      </c>
      <c r="T20" s="67"/>
    </row>
    <row r="21" spans="1:20" ht="25.5">
      <c r="A21" s="410" t="s">
        <v>1002</v>
      </c>
      <c r="B21" s="294" t="s">
        <v>978</v>
      </c>
      <c r="C21" s="294" t="s">
        <v>1004</v>
      </c>
      <c r="D21" s="79">
        <v>11.55</v>
      </c>
      <c r="E21" s="314" t="s">
        <v>454</v>
      </c>
      <c r="F21" s="270">
        <f t="shared" si="0"/>
        <v>1200</v>
      </c>
      <c r="G21" s="300">
        <f t="shared" si="1"/>
        <v>9.6249999999999999E-3</v>
      </c>
      <c r="I21" s="361"/>
      <c r="J21" s="315"/>
      <c r="K21" s="311"/>
      <c r="L21" s="311"/>
      <c r="M21" s="311"/>
      <c r="O21" s="322" t="s">
        <v>1005</v>
      </c>
      <c r="P21" s="323">
        <v>0</v>
      </c>
      <c r="Q21" s="324" t="s">
        <v>48</v>
      </c>
      <c r="R21" s="82">
        <v>450</v>
      </c>
      <c r="S21" s="325">
        <f>P21/R21</f>
        <v>0</v>
      </c>
    </row>
    <row r="22" spans="1:20" ht="12.75">
      <c r="A22" s="410" t="s">
        <v>1002</v>
      </c>
      <c r="B22" s="294" t="s">
        <v>978</v>
      </c>
      <c r="C22" s="294" t="s">
        <v>1006</v>
      </c>
      <c r="D22" s="79">
        <v>11.55</v>
      </c>
      <c r="E22" s="314" t="s">
        <v>454</v>
      </c>
      <c r="F22" s="270">
        <f t="shared" si="0"/>
        <v>1200</v>
      </c>
      <c r="G22" s="300">
        <f t="shared" si="1"/>
        <v>9.6249999999999999E-3</v>
      </c>
      <c r="I22" s="361"/>
      <c r="J22" s="315"/>
      <c r="K22" s="311"/>
      <c r="L22" s="311"/>
      <c r="M22" s="311"/>
    </row>
    <row r="23" spans="1:20" ht="12.75">
      <c r="A23" s="410" t="s">
        <v>1002</v>
      </c>
      <c r="B23" s="294" t="s">
        <v>978</v>
      </c>
      <c r="C23" s="294" t="s">
        <v>1007</v>
      </c>
      <c r="D23" s="79">
        <v>4.99</v>
      </c>
      <c r="E23" s="314" t="s">
        <v>467</v>
      </c>
      <c r="F23" s="270">
        <f t="shared" si="0"/>
        <v>300</v>
      </c>
      <c r="G23" s="300">
        <f t="shared" si="1"/>
        <v>1.6633333333333333E-2</v>
      </c>
      <c r="I23" s="361"/>
      <c r="J23" s="315"/>
      <c r="K23" s="311"/>
      <c r="L23" s="311"/>
      <c r="M23" s="311"/>
    </row>
    <row r="24" spans="1:20" ht="25.5">
      <c r="A24" s="410" t="s">
        <v>1002</v>
      </c>
      <c r="B24" s="294" t="s">
        <v>978</v>
      </c>
      <c r="C24" s="294" t="s">
        <v>995</v>
      </c>
      <c r="D24" s="79">
        <v>19.579999999999998</v>
      </c>
      <c r="E24" s="314" t="s">
        <v>467</v>
      </c>
      <c r="F24" s="270">
        <f t="shared" si="0"/>
        <v>300</v>
      </c>
      <c r="G24" s="300">
        <f t="shared" si="1"/>
        <v>6.5266666666666667E-2</v>
      </c>
      <c r="I24" s="361"/>
      <c r="J24" s="315"/>
      <c r="K24" s="311"/>
      <c r="L24" s="311"/>
      <c r="M24" s="311"/>
      <c r="O24" s="567" t="s">
        <v>56</v>
      </c>
      <c r="P24" s="568"/>
      <c r="Q24" s="568"/>
      <c r="R24" s="568"/>
      <c r="S24" s="568"/>
      <c r="T24" s="569"/>
    </row>
    <row r="25" spans="1:20" ht="25.5">
      <c r="A25" s="410" t="s">
        <v>1002</v>
      </c>
      <c r="B25" s="294" t="s">
        <v>978</v>
      </c>
      <c r="C25" s="294" t="s">
        <v>996</v>
      </c>
      <c r="D25" s="79">
        <v>22.04</v>
      </c>
      <c r="E25" s="314" t="s">
        <v>467</v>
      </c>
      <c r="F25" s="270">
        <f t="shared" si="0"/>
        <v>300</v>
      </c>
      <c r="G25" s="300">
        <f t="shared" si="1"/>
        <v>7.3466666666666666E-2</v>
      </c>
      <c r="I25" s="361"/>
      <c r="J25" s="315"/>
      <c r="K25" s="311"/>
      <c r="L25" s="311"/>
      <c r="M25" s="311"/>
      <c r="O25" s="559" t="s">
        <v>17</v>
      </c>
      <c r="P25" s="570" t="s">
        <v>2</v>
      </c>
      <c r="Q25" s="605" t="s">
        <v>435</v>
      </c>
      <c r="R25" s="572" t="s">
        <v>18</v>
      </c>
      <c r="S25" s="605" t="s">
        <v>21</v>
      </c>
      <c r="T25" s="607" t="s">
        <v>22</v>
      </c>
    </row>
    <row r="26" spans="1:20" ht="12.75">
      <c r="A26" s="410" t="s">
        <v>1002</v>
      </c>
      <c r="B26" s="294" t="s">
        <v>978</v>
      </c>
      <c r="C26" s="294" t="s">
        <v>517</v>
      </c>
      <c r="D26" s="79">
        <v>2.2999999999999998</v>
      </c>
      <c r="E26" s="314" t="s">
        <v>489</v>
      </c>
      <c r="F26" s="270">
        <f t="shared" si="0"/>
        <v>2500</v>
      </c>
      <c r="G26" s="300">
        <f t="shared" si="1"/>
        <v>9.1999999999999992E-4</v>
      </c>
      <c r="I26" s="361"/>
      <c r="J26" s="315"/>
      <c r="K26" s="311"/>
      <c r="L26" s="311"/>
      <c r="M26" s="311"/>
      <c r="O26" s="524"/>
      <c r="P26" s="437"/>
      <c r="Q26" s="513"/>
      <c r="R26" s="437"/>
      <c r="S26" s="513"/>
      <c r="T26" s="526"/>
    </row>
    <row r="27" spans="1:20" ht="25.5">
      <c r="A27" s="410" t="s">
        <v>1002</v>
      </c>
      <c r="B27" s="294" t="s">
        <v>978</v>
      </c>
      <c r="C27" s="294" t="s">
        <v>1008</v>
      </c>
      <c r="D27" s="79">
        <v>69.319999999999993</v>
      </c>
      <c r="E27" s="314" t="s">
        <v>920</v>
      </c>
      <c r="F27" s="270">
        <f t="shared" si="0"/>
        <v>450</v>
      </c>
      <c r="G27" s="300">
        <f t="shared" si="1"/>
        <v>0.15404444444444443</v>
      </c>
      <c r="I27" s="361"/>
      <c r="J27" s="315"/>
      <c r="K27" s="311"/>
      <c r="L27" s="311"/>
      <c r="M27" s="311"/>
      <c r="O27" s="525"/>
      <c r="P27" s="438"/>
      <c r="Q27" s="431"/>
      <c r="R27" s="438"/>
      <c r="S27" s="431"/>
      <c r="T27" s="527"/>
    </row>
    <row r="28" spans="1:20" ht="12.75">
      <c r="A28" s="410" t="s">
        <v>1002</v>
      </c>
      <c r="B28" s="294" t="s">
        <v>978</v>
      </c>
      <c r="C28" s="294" t="s">
        <v>766</v>
      </c>
      <c r="D28" s="79">
        <v>69.319999999999993</v>
      </c>
      <c r="E28" s="314" t="s">
        <v>454</v>
      </c>
      <c r="F28" s="270">
        <f t="shared" si="0"/>
        <v>1200</v>
      </c>
      <c r="G28" s="300">
        <f t="shared" si="1"/>
        <v>5.7766666666666661E-2</v>
      </c>
      <c r="I28" s="361"/>
      <c r="J28" s="315"/>
      <c r="K28" s="311"/>
      <c r="L28" s="311"/>
      <c r="M28" s="311"/>
      <c r="O28" s="560" t="s">
        <v>25</v>
      </c>
      <c r="P28" s="265" t="s">
        <v>604</v>
      </c>
      <c r="Q28" s="266">
        <f>SUMIF(E4:E97,"Pisos acarpetados",D4:D97)</f>
        <v>0</v>
      </c>
      <c r="R28" s="267">
        <v>1200</v>
      </c>
      <c r="S28" s="606">
        <f>SUM(Q28:Q34)</f>
        <v>2701</v>
      </c>
      <c r="T28" s="328">
        <f t="shared" ref="T28:T40" si="5">Q28/R28</f>
        <v>0</v>
      </c>
    </row>
    <row r="29" spans="1:20" ht="25.5">
      <c r="A29" s="410" t="s">
        <v>1002</v>
      </c>
      <c r="B29" s="294" t="s">
        <v>978</v>
      </c>
      <c r="C29" s="294" t="s">
        <v>693</v>
      </c>
      <c r="D29" s="79">
        <v>6.75</v>
      </c>
      <c r="E29" s="314" t="s">
        <v>573</v>
      </c>
      <c r="F29" s="270">
        <f t="shared" si="0"/>
        <v>1500</v>
      </c>
      <c r="G29" s="300">
        <f t="shared" si="1"/>
        <v>4.4999999999999997E-3</v>
      </c>
      <c r="I29" s="361"/>
      <c r="J29" s="315"/>
      <c r="K29" s="311"/>
      <c r="L29" s="311"/>
      <c r="M29" s="311"/>
      <c r="O29" s="524"/>
      <c r="P29" s="21" t="s">
        <v>51</v>
      </c>
      <c r="Q29" s="266">
        <f>SUMIF(E4:E97,"Pisos frios",D4:D97)</f>
        <v>1586.6800000000003</v>
      </c>
      <c r="R29" s="22">
        <v>1200</v>
      </c>
      <c r="S29" s="437"/>
      <c r="T29" s="328">
        <f t="shared" si="5"/>
        <v>1.3222333333333336</v>
      </c>
    </row>
    <row r="30" spans="1:20" ht="25.5">
      <c r="A30" s="410" t="s">
        <v>1002</v>
      </c>
      <c r="B30" s="294" t="s">
        <v>978</v>
      </c>
      <c r="C30" s="294" t="s">
        <v>579</v>
      </c>
      <c r="D30" s="79">
        <v>2.25</v>
      </c>
      <c r="E30" s="314" t="s">
        <v>573</v>
      </c>
      <c r="F30" s="270">
        <f t="shared" si="0"/>
        <v>1500</v>
      </c>
      <c r="G30" s="300">
        <f t="shared" si="1"/>
        <v>1.5E-3</v>
      </c>
      <c r="I30" s="361"/>
      <c r="J30" s="315"/>
      <c r="K30" s="311"/>
      <c r="L30" s="311"/>
      <c r="M30" s="311"/>
      <c r="O30" s="524"/>
      <c r="P30" s="21" t="s">
        <v>30</v>
      </c>
      <c r="Q30" s="266">
        <f>SUMIF(E4:E97,"Laboratórios",D4:D97)</f>
        <v>164.60999999999999</v>
      </c>
      <c r="R30" s="27">
        <v>450</v>
      </c>
      <c r="S30" s="437"/>
      <c r="T30" s="328">
        <f t="shared" si="5"/>
        <v>0.36579999999999996</v>
      </c>
    </row>
    <row r="31" spans="1:20" ht="12.75">
      <c r="A31" s="410" t="s">
        <v>1002</v>
      </c>
      <c r="B31" s="294" t="s">
        <v>978</v>
      </c>
      <c r="C31" s="294" t="s">
        <v>1009</v>
      </c>
      <c r="D31" s="79">
        <v>59.67</v>
      </c>
      <c r="E31" s="314" t="s">
        <v>920</v>
      </c>
      <c r="F31" s="270">
        <f t="shared" si="0"/>
        <v>450</v>
      </c>
      <c r="G31" s="300">
        <f t="shared" si="1"/>
        <v>0.1326</v>
      </c>
      <c r="I31" s="361"/>
      <c r="J31" s="315"/>
      <c r="K31" s="311"/>
      <c r="L31" s="311"/>
      <c r="M31" s="311"/>
      <c r="O31" s="524"/>
      <c r="P31" s="21" t="s">
        <v>31</v>
      </c>
      <c r="Q31" s="266">
        <f>SUMIF(E4:E97,"Almoxarifados/galpões",D4:D97)</f>
        <v>49.81</v>
      </c>
      <c r="R31" s="22">
        <v>2500</v>
      </c>
      <c r="S31" s="437"/>
      <c r="T31" s="328">
        <f t="shared" si="5"/>
        <v>1.9924000000000001E-2</v>
      </c>
    </row>
    <row r="32" spans="1:20" ht="12.75">
      <c r="A32" s="410" t="s">
        <v>1002</v>
      </c>
      <c r="B32" s="294" t="s">
        <v>978</v>
      </c>
      <c r="C32" s="294" t="s">
        <v>1010</v>
      </c>
      <c r="D32" s="79">
        <v>22.96</v>
      </c>
      <c r="E32" s="314" t="s">
        <v>454</v>
      </c>
      <c r="F32" s="270">
        <f t="shared" si="0"/>
        <v>1200</v>
      </c>
      <c r="G32" s="300">
        <f t="shared" si="1"/>
        <v>1.9133333333333336E-2</v>
      </c>
      <c r="I32" s="361"/>
      <c r="J32" s="315"/>
      <c r="K32" s="311"/>
      <c r="L32" s="311"/>
      <c r="M32" s="311"/>
      <c r="O32" s="524"/>
      <c r="P32" s="21" t="s">
        <v>32</v>
      </c>
      <c r="Q32" s="266">
        <f>SUMIF(E4:E97,"Oficinas",D4:D97)</f>
        <v>0</v>
      </c>
      <c r="R32" s="22">
        <v>1800</v>
      </c>
      <c r="S32" s="437"/>
      <c r="T32" s="328">
        <f t="shared" si="5"/>
        <v>0</v>
      </c>
    </row>
    <row r="33" spans="1:20" ht="12.75">
      <c r="A33" s="410" t="s">
        <v>1002</v>
      </c>
      <c r="B33" s="294" t="s">
        <v>978</v>
      </c>
      <c r="C33" s="294" t="s">
        <v>488</v>
      </c>
      <c r="D33" s="79">
        <v>22.96</v>
      </c>
      <c r="E33" s="314" t="s">
        <v>489</v>
      </c>
      <c r="F33" s="270">
        <f t="shared" si="0"/>
        <v>2500</v>
      </c>
      <c r="G33" s="300">
        <f t="shared" si="1"/>
        <v>9.1840000000000012E-3</v>
      </c>
      <c r="I33" s="361"/>
      <c r="J33" s="315"/>
      <c r="K33" s="311"/>
      <c r="L33" s="311"/>
      <c r="M33" s="311"/>
      <c r="O33" s="524"/>
      <c r="P33" s="21" t="s">
        <v>33</v>
      </c>
      <c r="Q33" s="266">
        <f>SUMIF(E4:E97,"Áreas com espaços livres - saguão hall e salão",D4:D97)</f>
        <v>774.37999999999988</v>
      </c>
      <c r="R33" s="22">
        <v>1500</v>
      </c>
      <c r="S33" s="437"/>
      <c r="T33" s="328">
        <f t="shared" si="5"/>
        <v>0.51625333333333323</v>
      </c>
    </row>
    <row r="34" spans="1:20" ht="12.75">
      <c r="A34" s="410" t="s">
        <v>1002</v>
      </c>
      <c r="B34" s="294" t="s">
        <v>978</v>
      </c>
      <c r="C34" s="294" t="s">
        <v>1011</v>
      </c>
      <c r="D34" s="79">
        <v>22.52</v>
      </c>
      <c r="E34" s="314" t="s">
        <v>454</v>
      </c>
      <c r="F34" s="270">
        <f t="shared" si="0"/>
        <v>1200</v>
      </c>
      <c r="G34" s="300">
        <f t="shared" si="1"/>
        <v>1.8766666666666668E-2</v>
      </c>
      <c r="I34" s="361"/>
      <c r="J34" s="315"/>
      <c r="K34" s="311"/>
      <c r="L34" s="311"/>
      <c r="M34" s="311"/>
      <c r="O34" s="525"/>
      <c r="P34" s="21" t="s">
        <v>53</v>
      </c>
      <c r="Q34" s="266">
        <f>SUMIF(E4:E97,"Banheiros",D4:D97)</f>
        <v>125.52000000000001</v>
      </c>
      <c r="R34" s="27">
        <v>300</v>
      </c>
      <c r="S34" s="438"/>
      <c r="T34" s="328">
        <f t="shared" si="5"/>
        <v>0.41840000000000005</v>
      </c>
    </row>
    <row r="35" spans="1:20" ht="12.75">
      <c r="A35" s="410" t="s">
        <v>1002</v>
      </c>
      <c r="B35" s="294" t="s">
        <v>978</v>
      </c>
      <c r="C35" s="294" t="s">
        <v>811</v>
      </c>
      <c r="D35" s="79">
        <v>22.52</v>
      </c>
      <c r="E35" s="314" t="s">
        <v>454</v>
      </c>
      <c r="F35" s="270">
        <f t="shared" si="0"/>
        <v>1200</v>
      </c>
      <c r="G35" s="300">
        <f t="shared" si="1"/>
        <v>1.8766666666666668E-2</v>
      </c>
      <c r="I35" s="361"/>
      <c r="J35" s="315"/>
      <c r="K35" s="311"/>
      <c r="L35" s="311"/>
      <c r="M35" s="311"/>
      <c r="O35" s="562" t="s">
        <v>36</v>
      </c>
      <c r="P35" s="21" t="s">
        <v>37</v>
      </c>
      <c r="Q35" s="24">
        <f>SUMIF(K4:K63,"Pisos pavimentados adjacentes/contíguos às edificações",J4:J63)</f>
        <v>0</v>
      </c>
      <c r="R35" s="22">
        <v>2700</v>
      </c>
      <c r="S35" s="598">
        <f>SUM(Q35:Q40)</f>
        <v>6082.08</v>
      </c>
      <c r="T35" s="328">
        <f t="shared" si="5"/>
        <v>0</v>
      </c>
    </row>
    <row r="36" spans="1:20" ht="12.75">
      <c r="A36" s="410" t="s">
        <v>1002</v>
      </c>
      <c r="B36" s="294" t="s">
        <v>978</v>
      </c>
      <c r="C36" s="294" t="s">
        <v>802</v>
      </c>
      <c r="D36" s="79">
        <v>23.42</v>
      </c>
      <c r="E36" s="314" t="s">
        <v>454</v>
      </c>
      <c r="F36" s="270">
        <f t="shared" si="0"/>
        <v>1200</v>
      </c>
      <c r="G36" s="300">
        <f t="shared" si="1"/>
        <v>1.9516666666666668E-2</v>
      </c>
      <c r="I36" s="361"/>
      <c r="J36" s="315"/>
      <c r="K36" s="311"/>
      <c r="L36" s="311"/>
      <c r="M36" s="311"/>
      <c r="O36" s="524"/>
      <c r="P36" s="21" t="s">
        <v>38</v>
      </c>
      <c r="Q36" s="24">
        <f>SUMIF(K4:K63,"Varrição de passeios e arruamentos",J4:J63)</f>
        <v>1348.75</v>
      </c>
      <c r="R36" s="22">
        <v>9000</v>
      </c>
      <c r="S36" s="437"/>
      <c r="T36" s="328">
        <f t="shared" si="5"/>
        <v>0.14986111111111111</v>
      </c>
    </row>
    <row r="37" spans="1:20" ht="25.5">
      <c r="A37" s="410" t="s">
        <v>1002</v>
      </c>
      <c r="B37" s="294" t="s">
        <v>978</v>
      </c>
      <c r="C37" s="294" t="s">
        <v>1012</v>
      </c>
      <c r="D37" s="79">
        <v>23.42</v>
      </c>
      <c r="E37" s="314" t="s">
        <v>454</v>
      </c>
      <c r="F37" s="270">
        <f t="shared" si="0"/>
        <v>1200</v>
      </c>
      <c r="G37" s="300">
        <f t="shared" si="1"/>
        <v>1.9516666666666668E-2</v>
      </c>
      <c r="I37" s="361"/>
      <c r="J37" s="315"/>
      <c r="K37" s="311"/>
      <c r="L37" s="311"/>
      <c r="M37" s="311"/>
      <c r="O37" s="524"/>
      <c r="P37" s="21" t="s">
        <v>39</v>
      </c>
      <c r="Q37" s="24">
        <f>SUMIF(K4:K63,"Pátios e áreas verdes com alta frequência",J4:J63)</f>
        <v>1139.33</v>
      </c>
      <c r="R37" s="22">
        <v>2700</v>
      </c>
      <c r="S37" s="437"/>
      <c r="T37" s="328">
        <f t="shared" si="5"/>
        <v>0.42197407407407406</v>
      </c>
    </row>
    <row r="38" spans="1:20" ht="12.75">
      <c r="A38" s="410" t="s">
        <v>1002</v>
      </c>
      <c r="B38" s="294" t="s">
        <v>978</v>
      </c>
      <c r="C38" s="294" t="s">
        <v>788</v>
      </c>
      <c r="D38" s="79">
        <v>10</v>
      </c>
      <c r="E38" s="314" t="s">
        <v>454</v>
      </c>
      <c r="F38" s="270">
        <f t="shared" si="0"/>
        <v>1200</v>
      </c>
      <c r="G38" s="300">
        <f t="shared" si="1"/>
        <v>8.3333333333333332E-3</v>
      </c>
      <c r="I38" s="361"/>
      <c r="J38" s="315"/>
      <c r="K38" s="311"/>
      <c r="L38" s="311"/>
      <c r="M38" s="311"/>
      <c r="O38" s="524"/>
      <c r="P38" s="21" t="s">
        <v>40</v>
      </c>
      <c r="Q38" s="24">
        <f>SUMIF(K4:K63,"Pátios e áreas verdes com média frequência",J4:J63)</f>
        <v>0</v>
      </c>
      <c r="R38" s="22">
        <v>2700</v>
      </c>
      <c r="S38" s="437"/>
      <c r="T38" s="328">
        <f t="shared" si="5"/>
        <v>0</v>
      </c>
    </row>
    <row r="39" spans="1:20" ht="38.25">
      <c r="A39" s="410" t="s">
        <v>1002</v>
      </c>
      <c r="B39" s="294" t="s">
        <v>978</v>
      </c>
      <c r="C39" s="294" t="s">
        <v>1013</v>
      </c>
      <c r="D39" s="79">
        <v>5.92</v>
      </c>
      <c r="E39" s="314" t="s">
        <v>467</v>
      </c>
      <c r="F39" s="270">
        <f t="shared" si="0"/>
        <v>300</v>
      </c>
      <c r="G39" s="300">
        <f t="shared" si="1"/>
        <v>1.9733333333333332E-2</v>
      </c>
      <c r="I39" s="361"/>
      <c r="J39" s="315"/>
      <c r="K39" s="311"/>
      <c r="L39" s="311"/>
      <c r="M39" s="311"/>
      <c r="O39" s="524"/>
      <c r="P39" s="21" t="s">
        <v>41</v>
      </c>
      <c r="Q39" s="24">
        <f>SUMIF(K4:K63,"Pátios e áreas verdes com baixa frequência",J4:J63)</f>
        <v>3594</v>
      </c>
      <c r="R39" s="22">
        <v>2700</v>
      </c>
      <c r="S39" s="437"/>
      <c r="T39" s="328">
        <f t="shared" si="5"/>
        <v>1.3311111111111111</v>
      </c>
    </row>
    <row r="40" spans="1:20" ht="38.25">
      <c r="A40" s="410" t="s">
        <v>1002</v>
      </c>
      <c r="B40" s="294" t="s">
        <v>978</v>
      </c>
      <c r="C40" s="294" t="s">
        <v>1014</v>
      </c>
      <c r="D40" s="79">
        <v>5.92</v>
      </c>
      <c r="E40" s="314" t="s">
        <v>467</v>
      </c>
      <c r="F40" s="270">
        <f t="shared" si="0"/>
        <v>300</v>
      </c>
      <c r="G40" s="300">
        <f t="shared" si="1"/>
        <v>1.9733333333333332E-2</v>
      </c>
      <c r="I40" s="361"/>
      <c r="J40" s="315"/>
      <c r="K40" s="311"/>
      <c r="L40" s="311"/>
      <c r="M40" s="311"/>
      <c r="O40" s="525"/>
      <c r="P40" s="21" t="s">
        <v>42</v>
      </c>
      <c r="Q40" s="24">
        <f>SUMIF(K4:K63,"coleta de detritos em pátios e áreas verdes com frequência diária",J4:J63)</f>
        <v>0</v>
      </c>
      <c r="R40" s="22">
        <v>100000</v>
      </c>
      <c r="S40" s="438"/>
      <c r="T40" s="328">
        <f t="shared" si="5"/>
        <v>0</v>
      </c>
    </row>
    <row r="41" spans="1:20" ht="12.75">
      <c r="A41" s="410" t="s">
        <v>1002</v>
      </c>
      <c r="B41" s="294" t="s">
        <v>978</v>
      </c>
      <c r="C41" s="294" t="s">
        <v>1015</v>
      </c>
      <c r="D41" s="79">
        <v>22.52</v>
      </c>
      <c r="E41" s="314" t="s">
        <v>920</v>
      </c>
      <c r="F41" s="270">
        <f t="shared" si="0"/>
        <v>450</v>
      </c>
      <c r="G41" s="300">
        <f t="shared" si="1"/>
        <v>5.0044444444444447E-2</v>
      </c>
      <c r="I41" s="361"/>
      <c r="J41" s="315"/>
      <c r="K41" s="311"/>
      <c r="L41" s="311"/>
      <c r="M41" s="311"/>
      <c r="O41" s="562" t="s">
        <v>43</v>
      </c>
      <c r="P41" s="21" t="s">
        <v>44</v>
      </c>
      <c r="Q41" s="24">
        <f>P14</f>
        <v>0</v>
      </c>
      <c r="R41" s="22">
        <v>160</v>
      </c>
      <c r="S41" s="598">
        <f>SUM(Q41:Q43)</f>
        <v>1477.34</v>
      </c>
      <c r="T41" s="328">
        <f>T14</f>
        <v>0</v>
      </c>
    </row>
    <row r="42" spans="1:20" ht="12.75">
      <c r="A42" s="410" t="s">
        <v>1002</v>
      </c>
      <c r="B42" s="294" t="s">
        <v>978</v>
      </c>
      <c r="C42" s="294" t="s">
        <v>799</v>
      </c>
      <c r="D42" s="79">
        <v>10.89</v>
      </c>
      <c r="E42" s="314" t="s">
        <v>454</v>
      </c>
      <c r="F42" s="270">
        <f t="shared" si="0"/>
        <v>1200</v>
      </c>
      <c r="G42" s="300">
        <f t="shared" si="1"/>
        <v>9.0749999999999997E-3</v>
      </c>
      <c r="I42" s="361"/>
      <c r="J42" s="315"/>
      <c r="K42" s="311"/>
      <c r="L42" s="311"/>
      <c r="M42" s="311"/>
      <c r="O42" s="524"/>
      <c r="P42" s="21" t="s">
        <v>45</v>
      </c>
      <c r="Q42" s="24">
        <f>P4</f>
        <v>738.67</v>
      </c>
      <c r="R42" s="22">
        <v>380</v>
      </c>
      <c r="S42" s="437"/>
      <c r="T42" s="328">
        <f>T4</f>
        <v>1.373030846584942E-2</v>
      </c>
    </row>
    <row r="43" spans="1:20" ht="12.75">
      <c r="A43" s="410" t="s">
        <v>1002</v>
      </c>
      <c r="B43" s="294" t="s">
        <v>978</v>
      </c>
      <c r="C43" s="294" t="s">
        <v>558</v>
      </c>
      <c r="D43" s="79">
        <v>11.04</v>
      </c>
      <c r="E43" s="314" t="s">
        <v>454</v>
      </c>
      <c r="F43" s="270">
        <f t="shared" si="0"/>
        <v>1200</v>
      </c>
      <c r="G43" s="300">
        <f t="shared" si="1"/>
        <v>9.1999999999999998E-3</v>
      </c>
      <c r="I43" s="361"/>
      <c r="J43" s="315"/>
      <c r="K43" s="311"/>
      <c r="L43" s="311"/>
      <c r="M43" s="311"/>
      <c r="O43" s="525"/>
      <c r="P43" s="21" t="s">
        <v>46</v>
      </c>
      <c r="Q43" s="24">
        <f>P6</f>
        <v>738.67</v>
      </c>
      <c r="R43" s="22">
        <v>380</v>
      </c>
      <c r="S43" s="438"/>
      <c r="T43" s="328">
        <f>T6</f>
        <v>0.16476952075038198</v>
      </c>
    </row>
    <row r="44" spans="1:20" ht="25.5">
      <c r="A44" s="410" t="s">
        <v>1002</v>
      </c>
      <c r="B44" s="294" t="s">
        <v>978</v>
      </c>
      <c r="C44" s="294" t="s">
        <v>979</v>
      </c>
      <c r="D44" s="79">
        <v>16.21</v>
      </c>
      <c r="E44" s="314" t="s">
        <v>573</v>
      </c>
      <c r="F44" s="270">
        <f t="shared" si="0"/>
        <v>1500</v>
      </c>
      <c r="G44" s="300">
        <f t="shared" si="1"/>
        <v>1.0806666666666668E-2</v>
      </c>
      <c r="I44" s="361"/>
      <c r="J44" s="315"/>
      <c r="K44" s="311"/>
      <c r="L44" s="311"/>
      <c r="M44" s="311"/>
      <c r="O44" s="271" t="s">
        <v>47</v>
      </c>
      <c r="P44" s="21" t="s">
        <v>47</v>
      </c>
      <c r="Q44" s="24">
        <f>P13</f>
        <v>0</v>
      </c>
      <c r="R44" s="22">
        <v>160</v>
      </c>
      <c r="S44" s="332">
        <f t="shared" ref="S44:S45" si="6">Q44</f>
        <v>0</v>
      </c>
      <c r="T44" s="328">
        <f>T13</f>
        <v>0</v>
      </c>
    </row>
    <row r="45" spans="1:20" ht="12.75">
      <c r="A45" s="410" t="s">
        <v>1002</v>
      </c>
      <c r="B45" s="294" t="s">
        <v>978</v>
      </c>
      <c r="C45" s="294" t="s">
        <v>797</v>
      </c>
      <c r="D45" s="79">
        <v>45.92</v>
      </c>
      <c r="E45" s="314" t="s">
        <v>454</v>
      </c>
      <c r="F45" s="270">
        <f t="shared" si="0"/>
        <v>1200</v>
      </c>
      <c r="G45" s="300">
        <f t="shared" si="1"/>
        <v>3.8266666666666671E-2</v>
      </c>
      <c r="I45" s="361"/>
      <c r="J45" s="315"/>
      <c r="K45" s="311"/>
      <c r="L45" s="311"/>
      <c r="M45" s="311"/>
      <c r="O45" s="271" t="s">
        <v>48</v>
      </c>
      <c r="P45" s="21" t="s">
        <v>48</v>
      </c>
      <c r="Q45" s="24">
        <f>P21</f>
        <v>0</v>
      </c>
      <c r="R45" s="22">
        <v>450</v>
      </c>
      <c r="S45" s="332">
        <f t="shared" si="6"/>
        <v>0</v>
      </c>
      <c r="T45" s="328">
        <f>Q45/R45</f>
        <v>0</v>
      </c>
    </row>
    <row r="46" spans="1:20" ht="12.75">
      <c r="A46" s="410" t="s">
        <v>1002</v>
      </c>
      <c r="B46" s="294" t="s">
        <v>978</v>
      </c>
      <c r="C46" s="294" t="s">
        <v>1016</v>
      </c>
      <c r="D46" s="79">
        <v>22.52</v>
      </c>
      <c r="E46" s="314" t="s">
        <v>454</v>
      </c>
      <c r="F46" s="270">
        <f t="shared" si="0"/>
        <v>1200</v>
      </c>
      <c r="G46" s="300">
        <f t="shared" si="1"/>
        <v>1.8766666666666668E-2</v>
      </c>
      <c r="I46" s="361"/>
      <c r="J46" s="315"/>
      <c r="K46" s="311"/>
      <c r="L46" s="311"/>
      <c r="M46" s="311"/>
      <c r="O46" s="564" t="s">
        <v>15</v>
      </c>
      <c r="P46" s="565"/>
      <c r="Q46" s="565"/>
      <c r="R46" s="566"/>
      <c r="S46" s="333">
        <f>SUM(S28:S45)</f>
        <v>10260.42</v>
      </c>
      <c r="T46" s="334">
        <f>SUM(T28:T45)-T41</f>
        <v>4.7240567921791943</v>
      </c>
    </row>
    <row r="47" spans="1:20" ht="12.75">
      <c r="A47" s="410" t="s">
        <v>1002</v>
      </c>
      <c r="B47" s="294" t="s">
        <v>978</v>
      </c>
      <c r="C47" s="294" t="s">
        <v>1017</v>
      </c>
      <c r="D47" s="79">
        <v>297.45</v>
      </c>
      <c r="E47" s="314" t="s">
        <v>454</v>
      </c>
      <c r="F47" s="270">
        <f t="shared" si="0"/>
        <v>1200</v>
      </c>
      <c r="G47" s="300">
        <f t="shared" si="1"/>
        <v>0.24787499999999998</v>
      </c>
      <c r="I47" s="361"/>
      <c r="J47" s="315"/>
      <c r="K47" s="311"/>
      <c r="L47" s="311"/>
      <c r="M47" s="311"/>
      <c r="O47" s="63"/>
      <c r="P47" s="68"/>
      <c r="Q47" s="69"/>
      <c r="R47" s="70"/>
      <c r="S47" s="276"/>
      <c r="T47" s="65"/>
    </row>
    <row r="48" spans="1:20" ht="25.5">
      <c r="A48" s="410" t="s">
        <v>1002</v>
      </c>
      <c r="B48" s="294" t="s">
        <v>978</v>
      </c>
      <c r="C48" s="294" t="s">
        <v>983</v>
      </c>
      <c r="D48" s="79">
        <v>16.21</v>
      </c>
      <c r="E48" s="314" t="s">
        <v>573</v>
      </c>
      <c r="F48" s="270">
        <f t="shared" si="0"/>
        <v>1500</v>
      </c>
      <c r="G48" s="300">
        <f t="shared" si="1"/>
        <v>1.0806666666666668E-2</v>
      </c>
      <c r="I48" s="361"/>
      <c r="J48" s="315"/>
      <c r="K48" s="311"/>
      <c r="L48" s="311"/>
      <c r="M48" s="311"/>
      <c r="O48" s="63"/>
      <c r="P48" s="64"/>
      <c r="Q48" s="65"/>
      <c r="R48" s="278"/>
      <c r="S48" s="278" t="s">
        <v>49</v>
      </c>
      <c r="T48" s="279">
        <f>ROUND(T46,0)</f>
        <v>5</v>
      </c>
    </row>
    <row r="49" spans="1:20" ht="25.5">
      <c r="A49" s="410" t="s">
        <v>1002</v>
      </c>
      <c r="B49" s="294" t="s">
        <v>978</v>
      </c>
      <c r="C49" s="294" t="s">
        <v>1018</v>
      </c>
      <c r="D49" s="79">
        <v>153.38</v>
      </c>
      <c r="E49" s="314" t="s">
        <v>573</v>
      </c>
      <c r="F49" s="270">
        <f t="shared" si="0"/>
        <v>1500</v>
      </c>
      <c r="G49" s="300">
        <f t="shared" si="1"/>
        <v>0.10225333333333333</v>
      </c>
      <c r="I49" s="361"/>
      <c r="J49" s="315"/>
      <c r="K49" s="311"/>
      <c r="L49" s="311"/>
      <c r="M49" s="311"/>
      <c r="O49" s="63"/>
      <c r="P49" s="64"/>
      <c r="Q49" s="65"/>
      <c r="R49" s="278"/>
      <c r="S49" s="278" t="s">
        <v>516</v>
      </c>
      <c r="T49" s="279">
        <f>T44+T41</f>
        <v>0</v>
      </c>
    </row>
    <row r="50" spans="1:20" ht="25.5">
      <c r="A50" s="410" t="s">
        <v>1002</v>
      </c>
      <c r="B50" s="294" t="s">
        <v>978</v>
      </c>
      <c r="C50" s="294" t="s">
        <v>1019</v>
      </c>
      <c r="D50" s="79">
        <v>143.66999999999999</v>
      </c>
      <c r="E50" s="314" t="s">
        <v>573</v>
      </c>
      <c r="F50" s="270">
        <f t="shared" si="0"/>
        <v>1500</v>
      </c>
      <c r="G50" s="300">
        <f t="shared" si="1"/>
        <v>9.577999999999999E-2</v>
      </c>
      <c r="I50" s="361"/>
      <c r="J50" s="315"/>
      <c r="K50" s="311"/>
      <c r="L50" s="609"/>
      <c r="M50" s="461"/>
      <c r="N50" s="461"/>
      <c r="O50" s="461"/>
      <c r="P50" s="461"/>
      <c r="Q50" s="461"/>
      <c r="R50" s="461"/>
      <c r="S50" s="461"/>
      <c r="T50" s="461"/>
    </row>
    <row r="51" spans="1:20" ht="25.5">
      <c r="A51" s="410" t="s">
        <v>1002</v>
      </c>
      <c r="B51" s="294" t="s">
        <v>1020</v>
      </c>
      <c r="C51" s="294" t="s">
        <v>1021</v>
      </c>
      <c r="D51" s="79">
        <v>45.92</v>
      </c>
      <c r="E51" s="314" t="s">
        <v>454</v>
      </c>
      <c r="F51" s="270">
        <f t="shared" si="0"/>
        <v>1200</v>
      </c>
      <c r="G51" s="300">
        <f t="shared" si="1"/>
        <v>3.8266666666666671E-2</v>
      </c>
      <c r="I51" s="361"/>
      <c r="J51" s="315"/>
      <c r="K51" s="311"/>
      <c r="L51" s="579"/>
      <c r="M51" s="579"/>
      <c r="N51" s="613"/>
      <c r="O51" s="579"/>
      <c r="P51" s="613"/>
      <c r="Q51" s="613"/>
      <c r="R51" s="461"/>
      <c r="S51" s="579"/>
      <c r="T51" s="461"/>
    </row>
    <row r="52" spans="1:20" ht="12.75">
      <c r="A52" s="410" t="s">
        <v>1002</v>
      </c>
      <c r="B52" s="294" t="s">
        <v>1020</v>
      </c>
      <c r="C52" s="294" t="s">
        <v>1022</v>
      </c>
      <c r="D52" s="79">
        <v>45.92</v>
      </c>
      <c r="E52" s="314" t="s">
        <v>454</v>
      </c>
      <c r="F52" s="270">
        <f t="shared" si="0"/>
        <v>1200</v>
      </c>
      <c r="G52" s="300">
        <f t="shared" si="1"/>
        <v>3.8266666666666671E-2</v>
      </c>
      <c r="I52" s="361"/>
      <c r="J52" s="315"/>
      <c r="K52" s="311"/>
      <c r="L52" s="461"/>
      <c r="M52" s="461"/>
      <c r="N52" s="461"/>
      <c r="O52" s="461"/>
      <c r="P52" s="461"/>
      <c r="Q52" s="579"/>
      <c r="R52" s="613"/>
      <c r="S52" s="579"/>
      <c r="T52" s="613"/>
    </row>
    <row r="53" spans="1:20" ht="12.75">
      <c r="A53" s="410" t="s">
        <v>1002</v>
      </c>
      <c r="B53" s="294" t="s">
        <v>1020</v>
      </c>
      <c r="C53" s="294" t="s">
        <v>1023</v>
      </c>
      <c r="D53" s="79">
        <v>45.92</v>
      </c>
      <c r="E53" s="314" t="s">
        <v>454</v>
      </c>
      <c r="F53" s="270">
        <f t="shared" si="0"/>
        <v>1200</v>
      </c>
      <c r="G53" s="300">
        <f t="shared" si="1"/>
        <v>3.8266666666666671E-2</v>
      </c>
      <c r="I53" s="361"/>
      <c r="J53" s="315"/>
      <c r="K53" s="311"/>
      <c r="L53" s="461"/>
      <c r="M53" s="461"/>
      <c r="N53" s="461"/>
      <c r="O53" s="461"/>
      <c r="P53" s="461"/>
      <c r="Q53" s="461"/>
      <c r="R53" s="461"/>
      <c r="S53" s="461"/>
      <c r="T53" s="461"/>
    </row>
    <row r="54" spans="1:20" ht="25.5">
      <c r="A54" s="410" t="s">
        <v>1002</v>
      </c>
      <c r="B54" s="294" t="s">
        <v>1020</v>
      </c>
      <c r="C54" s="294" t="s">
        <v>996</v>
      </c>
      <c r="D54" s="79">
        <v>19.86</v>
      </c>
      <c r="E54" s="314" t="s">
        <v>467</v>
      </c>
      <c r="F54" s="270">
        <f t="shared" si="0"/>
        <v>300</v>
      </c>
      <c r="G54" s="300">
        <f t="shared" si="1"/>
        <v>6.6199999999999995E-2</v>
      </c>
      <c r="I54" s="361"/>
      <c r="J54" s="315"/>
      <c r="K54" s="311"/>
      <c r="L54" s="579"/>
      <c r="M54" s="68"/>
      <c r="N54" s="70"/>
      <c r="O54" s="69"/>
      <c r="P54" s="20"/>
      <c r="Q54" s="20"/>
      <c r="R54" s="20"/>
      <c r="S54" s="20"/>
      <c r="T54" s="20"/>
    </row>
    <row r="55" spans="1:20" ht="12.75">
      <c r="A55" s="410" t="s">
        <v>1002</v>
      </c>
      <c r="B55" s="294" t="s">
        <v>1020</v>
      </c>
      <c r="C55" s="294" t="s">
        <v>517</v>
      </c>
      <c r="D55" s="79">
        <v>2.0299999999999998</v>
      </c>
      <c r="E55" s="314" t="s">
        <v>489</v>
      </c>
      <c r="F55" s="270">
        <f t="shared" si="0"/>
        <v>2500</v>
      </c>
      <c r="G55" s="300">
        <f t="shared" si="1"/>
        <v>8.119999999999999E-4</v>
      </c>
      <c r="I55" s="361"/>
      <c r="J55" s="315"/>
      <c r="K55" s="311"/>
      <c r="L55" s="461"/>
      <c r="M55" s="68"/>
      <c r="N55" s="70"/>
      <c r="O55" s="69"/>
      <c r="P55" s="20"/>
      <c r="Q55" s="20"/>
      <c r="R55" s="20"/>
      <c r="S55" s="20"/>
      <c r="T55" s="20"/>
    </row>
    <row r="56" spans="1:20" ht="12.75">
      <c r="A56" s="410" t="s">
        <v>1002</v>
      </c>
      <c r="B56" s="294" t="s">
        <v>1020</v>
      </c>
      <c r="C56" s="294" t="s">
        <v>1007</v>
      </c>
      <c r="D56" s="79">
        <v>5.2</v>
      </c>
      <c r="E56" s="314" t="s">
        <v>467</v>
      </c>
      <c r="F56" s="270">
        <f t="shared" si="0"/>
        <v>300</v>
      </c>
      <c r="G56" s="300">
        <f t="shared" si="1"/>
        <v>1.7333333333333333E-2</v>
      </c>
      <c r="I56" s="361"/>
      <c r="J56" s="315"/>
      <c r="K56" s="311"/>
      <c r="L56" s="461"/>
      <c r="M56" s="68"/>
      <c r="N56" s="65"/>
      <c r="O56" s="69"/>
      <c r="P56" s="20"/>
      <c r="Q56" s="20"/>
      <c r="R56" s="20"/>
      <c r="S56" s="20"/>
      <c r="T56" s="20"/>
    </row>
    <row r="57" spans="1:20" ht="25.5">
      <c r="A57" s="410" t="s">
        <v>1002</v>
      </c>
      <c r="B57" s="294" t="s">
        <v>1020</v>
      </c>
      <c r="C57" s="294" t="s">
        <v>995</v>
      </c>
      <c r="D57" s="79">
        <v>16.43</v>
      </c>
      <c r="E57" s="314" t="s">
        <v>467</v>
      </c>
      <c r="F57" s="270">
        <f t="shared" si="0"/>
        <v>300</v>
      </c>
      <c r="G57" s="300">
        <f t="shared" si="1"/>
        <v>5.4766666666666665E-2</v>
      </c>
      <c r="I57" s="361"/>
      <c r="J57" s="315"/>
      <c r="K57" s="311"/>
      <c r="L57" s="461"/>
      <c r="M57" s="68"/>
      <c r="N57" s="70"/>
      <c r="O57" s="69"/>
      <c r="P57" s="20"/>
      <c r="Q57" s="20"/>
      <c r="R57" s="20"/>
      <c r="S57" s="20"/>
      <c r="T57" s="20"/>
    </row>
    <row r="58" spans="1:20" ht="25.5">
      <c r="A58" s="410" t="s">
        <v>1002</v>
      </c>
      <c r="B58" s="294" t="s">
        <v>1020</v>
      </c>
      <c r="C58" s="294" t="s">
        <v>1024</v>
      </c>
      <c r="D58" s="79">
        <v>22.52</v>
      </c>
      <c r="E58" s="314" t="s">
        <v>489</v>
      </c>
      <c r="F58" s="270">
        <f t="shared" si="0"/>
        <v>2500</v>
      </c>
      <c r="G58" s="300">
        <f t="shared" si="1"/>
        <v>9.0080000000000004E-3</v>
      </c>
      <c r="I58" s="361"/>
      <c r="J58" s="315"/>
      <c r="K58" s="311"/>
      <c r="L58" s="461"/>
      <c r="M58" s="68"/>
      <c r="N58" s="70"/>
      <c r="O58" s="69"/>
      <c r="P58" s="20"/>
      <c r="Q58" s="20"/>
      <c r="R58" s="20"/>
      <c r="S58" s="20"/>
      <c r="T58" s="20"/>
    </row>
    <row r="59" spans="1:20" ht="25.5">
      <c r="A59" s="410" t="s">
        <v>1002</v>
      </c>
      <c r="B59" s="294" t="s">
        <v>1020</v>
      </c>
      <c r="C59" s="294" t="s">
        <v>1025</v>
      </c>
      <c r="D59" s="79">
        <v>45.92</v>
      </c>
      <c r="E59" s="314" t="s">
        <v>454</v>
      </c>
      <c r="F59" s="270">
        <f t="shared" si="0"/>
        <v>1200</v>
      </c>
      <c r="G59" s="300">
        <f t="shared" si="1"/>
        <v>3.8266666666666671E-2</v>
      </c>
      <c r="I59" s="361"/>
      <c r="J59" s="315"/>
      <c r="K59" s="311"/>
      <c r="L59" s="461"/>
      <c r="M59" s="68"/>
      <c r="N59" s="70"/>
      <c r="O59" s="69"/>
      <c r="P59" s="20"/>
      <c r="Q59" s="20"/>
      <c r="R59" s="20"/>
      <c r="S59" s="20"/>
      <c r="T59" s="20"/>
    </row>
    <row r="60" spans="1:20" ht="12.75">
      <c r="A60" s="410" t="s">
        <v>1002</v>
      </c>
      <c r="B60" s="294" t="s">
        <v>1020</v>
      </c>
      <c r="C60" s="294" t="s">
        <v>1026</v>
      </c>
      <c r="D60" s="79">
        <v>45.92</v>
      </c>
      <c r="E60" s="314" t="s">
        <v>454</v>
      </c>
      <c r="F60" s="270">
        <f t="shared" si="0"/>
        <v>1200</v>
      </c>
      <c r="G60" s="300">
        <f t="shared" si="1"/>
        <v>3.8266666666666671E-2</v>
      </c>
      <c r="I60" s="361"/>
      <c r="J60" s="315"/>
      <c r="K60" s="311"/>
      <c r="L60" s="461"/>
      <c r="M60" s="68"/>
      <c r="N60" s="65"/>
      <c r="O60" s="69"/>
      <c r="P60" s="20"/>
      <c r="Q60" s="20"/>
      <c r="R60" s="20"/>
      <c r="S60" s="20"/>
      <c r="T60" s="20"/>
    </row>
    <row r="61" spans="1:20" ht="25.5">
      <c r="A61" s="410" t="s">
        <v>1002</v>
      </c>
      <c r="B61" s="294" t="s">
        <v>1020</v>
      </c>
      <c r="C61" s="294" t="s">
        <v>579</v>
      </c>
      <c r="D61" s="79">
        <v>2.5499999999999998</v>
      </c>
      <c r="E61" s="314" t="s">
        <v>573</v>
      </c>
      <c r="F61" s="270">
        <f t="shared" si="0"/>
        <v>1500</v>
      </c>
      <c r="G61" s="300">
        <f t="shared" si="1"/>
        <v>1.6999999999999999E-3</v>
      </c>
      <c r="I61" s="361"/>
      <c r="J61" s="315"/>
      <c r="K61" s="311"/>
      <c r="L61" s="579"/>
      <c r="M61" s="68"/>
      <c r="N61" s="70"/>
      <c r="O61" s="69"/>
      <c r="P61" s="20"/>
      <c r="Q61" s="20"/>
      <c r="R61" s="20"/>
      <c r="S61" s="20"/>
      <c r="T61" s="20"/>
    </row>
    <row r="62" spans="1:20" ht="25.5">
      <c r="A62" s="410" t="s">
        <v>1002</v>
      </c>
      <c r="B62" s="294" t="s">
        <v>1020</v>
      </c>
      <c r="C62" s="294" t="s">
        <v>693</v>
      </c>
      <c r="D62" s="79">
        <v>7.65</v>
      </c>
      <c r="E62" s="314" t="s">
        <v>573</v>
      </c>
      <c r="F62" s="270">
        <f t="shared" si="0"/>
        <v>1500</v>
      </c>
      <c r="G62" s="300">
        <f t="shared" si="1"/>
        <v>5.1000000000000004E-3</v>
      </c>
      <c r="I62" s="361"/>
      <c r="J62" s="315"/>
      <c r="K62" s="310"/>
      <c r="L62" s="461"/>
      <c r="M62" s="68"/>
      <c r="N62" s="70"/>
      <c r="O62" s="69"/>
      <c r="P62" s="20"/>
      <c r="Q62" s="20"/>
      <c r="R62" s="20"/>
      <c r="S62" s="20"/>
      <c r="T62" s="20"/>
    </row>
    <row r="63" spans="1:20" ht="12.75">
      <c r="A63" s="410" t="s">
        <v>1002</v>
      </c>
      <c r="B63" s="294" t="s">
        <v>1020</v>
      </c>
      <c r="C63" s="294" t="s">
        <v>1027</v>
      </c>
      <c r="D63" s="79">
        <v>35.1</v>
      </c>
      <c r="E63" s="314" t="s">
        <v>454</v>
      </c>
      <c r="F63" s="270">
        <f t="shared" si="0"/>
        <v>1200</v>
      </c>
      <c r="G63" s="300">
        <f t="shared" si="1"/>
        <v>2.9250000000000002E-2</v>
      </c>
      <c r="I63" s="361"/>
      <c r="J63" s="315"/>
      <c r="K63" s="311"/>
      <c r="L63" s="461"/>
      <c r="M63" s="68"/>
      <c r="N63" s="70"/>
      <c r="O63" s="69"/>
      <c r="P63" s="20"/>
      <c r="Q63" s="20"/>
      <c r="R63" s="20"/>
      <c r="S63" s="20"/>
      <c r="T63" s="20"/>
    </row>
    <row r="64" spans="1:20" ht="12.75">
      <c r="A64" s="410" t="s">
        <v>1002</v>
      </c>
      <c r="B64" s="294" t="s">
        <v>1020</v>
      </c>
      <c r="C64" s="294" t="s">
        <v>1028</v>
      </c>
      <c r="D64" s="79">
        <v>45.92</v>
      </c>
      <c r="E64" s="314" t="s">
        <v>454</v>
      </c>
      <c r="F64" s="270">
        <f t="shared" si="0"/>
        <v>1200</v>
      </c>
      <c r="G64" s="300">
        <f t="shared" si="1"/>
        <v>3.8266666666666671E-2</v>
      </c>
      <c r="I64" s="336"/>
      <c r="J64" s="337"/>
      <c r="K64" s="337"/>
      <c r="L64" s="461"/>
      <c r="M64" s="68"/>
      <c r="N64" s="70"/>
      <c r="O64" s="69"/>
      <c r="P64" s="20"/>
      <c r="Q64" s="20"/>
      <c r="R64" s="20"/>
      <c r="S64" s="20"/>
      <c r="T64" s="20"/>
    </row>
    <row r="65" spans="1:20" ht="12.75">
      <c r="A65" s="410" t="s">
        <v>1002</v>
      </c>
      <c r="B65" s="294" t="s">
        <v>1020</v>
      </c>
      <c r="C65" s="294" t="s">
        <v>1029</v>
      </c>
      <c r="D65" s="79">
        <v>45.92</v>
      </c>
      <c r="E65" s="314" t="s">
        <v>454</v>
      </c>
      <c r="F65" s="270">
        <f t="shared" si="0"/>
        <v>1200</v>
      </c>
      <c r="G65" s="300">
        <f t="shared" si="1"/>
        <v>3.8266666666666671E-2</v>
      </c>
      <c r="L65" s="461"/>
      <c r="M65" s="68"/>
      <c r="N65" s="70"/>
      <c r="O65" s="69"/>
      <c r="P65" s="20"/>
      <c r="Q65" s="20"/>
      <c r="R65" s="20"/>
      <c r="S65" s="20"/>
      <c r="T65" s="20"/>
    </row>
    <row r="66" spans="1:20" ht="12.75">
      <c r="A66" s="410" t="s">
        <v>1002</v>
      </c>
      <c r="B66" s="294" t="s">
        <v>1020</v>
      </c>
      <c r="C66" s="294" t="s">
        <v>1030</v>
      </c>
      <c r="D66" s="79">
        <v>45.92</v>
      </c>
      <c r="E66" s="314" t="s">
        <v>454</v>
      </c>
      <c r="F66" s="270">
        <f t="shared" si="0"/>
        <v>1200</v>
      </c>
      <c r="G66" s="300">
        <f t="shared" si="1"/>
        <v>3.8266666666666671E-2</v>
      </c>
      <c r="L66" s="461"/>
      <c r="M66" s="68"/>
      <c r="N66" s="70"/>
      <c r="O66" s="69"/>
      <c r="P66" s="20"/>
      <c r="Q66" s="20"/>
      <c r="R66" s="20"/>
      <c r="S66" s="20"/>
      <c r="T66" s="20"/>
    </row>
    <row r="67" spans="1:20" ht="12.75">
      <c r="A67" s="410" t="s">
        <v>1002</v>
      </c>
      <c r="B67" s="294" t="s">
        <v>1020</v>
      </c>
      <c r="C67" s="294" t="s">
        <v>1031</v>
      </c>
      <c r="D67" s="79">
        <v>45.92</v>
      </c>
      <c r="E67" s="314" t="s">
        <v>454</v>
      </c>
      <c r="F67" s="270">
        <f t="shared" si="0"/>
        <v>1200</v>
      </c>
      <c r="G67" s="300">
        <f t="shared" si="1"/>
        <v>3.8266666666666671E-2</v>
      </c>
      <c r="L67" s="579"/>
      <c r="M67" s="68"/>
      <c r="N67" s="70"/>
      <c r="O67" s="69"/>
      <c r="P67" s="20"/>
      <c r="Q67" s="20"/>
      <c r="R67" s="20"/>
      <c r="S67" s="20"/>
      <c r="T67" s="20"/>
    </row>
    <row r="68" spans="1:20" ht="12.75">
      <c r="A68" s="410" t="s">
        <v>1002</v>
      </c>
      <c r="B68" s="294" t="s">
        <v>1020</v>
      </c>
      <c r="C68" s="294" t="s">
        <v>1032</v>
      </c>
      <c r="D68" s="79">
        <v>22.52</v>
      </c>
      <c r="E68" s="314" t="s">
        <v>454</v>
      </c>
      <c r="F68" s="270">
        <f t="shared" si="0"/>
        <v>1200</v>
      </c>
      <c r="G68" s="300">
        <f t="shared" si="1"/>
        <v>1.8766666666666668E-2</v>
      </c>
      <c r="L68" s="461"/>
      <c r="M68" s="68"/>
      <c r="N68" s="70"/>
      <c r="O68" s="69"/>
      <c r="P68" s="20"/>
      <c r="Q68" s="20"/>
      <c r="R68" s="20"/>
      <c r="S68" s="20"/>
      <c r="T68" s="20"/>
    </row>
    <row r="69" spans="1:20" ht="12.75">
      <c r="A69" s="410" t="s">
        <v>1002</v>
      </c>
      <c r="B69" s="294" t="s">
        <v>1020</v>
      </c>
      <c r="C69" s="294" t="s">
        <v>1033</v>
      </c>
      <c r="D69" s="79">
        <v>36.270000000000003</v>
      </c>
      <c r="E69" s="314" t="s">
        <v>454</v>
      </c>
      <c r="F69" s="270">
        <f t="shared" si="0"/>
        <v>1200</v>
      </c>
      <c r="G69" s="300">
        <f t="shared" si="1"/>
        <v>3.0225000000000002E-2</v>
      </c>
      <c r="L69" s="461"/>
      <c r="M69" s="68"/>
      <c r="N69" s="70"/>
      <c r="O69" s="69"/>
      <c r="P69" s="20"/>
      <c r="Q69" s="20"/>
      <c r="R69" s="20"/>
      <c r="S69" s="20"/>
      <c r="T69" s="20"/>
    </row>
    <row r="70" spans="1:20" ht="25.5">
      <c r="A70" s="410" t="s">
        <v>1002</v>
      </c>
      <c r="B70" s="294" t="s">
        <v>1020</v>
      </c>
      <c r="C70" s="294" t="s">
        <v>579</v>
      </c>
      <c r="D70" s="79">
        <v>2.25</v>
      </c>
      <c r="E70" s="314" t="s">
        <v>573</v>
      </c>
      <c r="F70" s="270">
        <f t="shared" si="0"/>
        <v>1500</v>
      </c>
      <c r="G70" s="300">
        <f t="shared" si="1"/>
        <v>1.5E-3</v>
      </c>
      <c r="L70" s="63"/>
      <c r="M70" s="68"/>
      <c r="N70" s="70"/>
      <c r="O70" s="69"/>
      <c r="P70" s="20"/>
      <c r="Q70" s="20"/>
      <c r="R70" s="20"/>
      <c r="S70" s="20"/>
      <c r="T70" s="20"/>
    </row>
    <row r="71" spans="1:20" ht="25.5">
      <c r="A71" s="410" t="s">
        <v>1002</v>
      </c>
      <c r="B71" s="294" t="s">
        <v>1020</v>
      </c>
      <c r="C71" s="294" t="s">
        <v>655</v>
      </c>
      <c r="D71" s="79">
        <v>6.75</v>
      </c>
      <c r="E71" s="314" t="s">
        <v>573</v>
      </c>
      <c r="F71" s="270">
        <f t="shared" si="0"/>
        <v>1500</v>
      </c>
      <c r="G71" s="300">
        <f t="shared" si="1"/>
        <v>4.4999999999999997E-3</v>
      </c>
      <c r="L71" s="415"/>
      <c r="M71" s="68"/>
      <c r="N71" s="70"/>
      <c r="O71" s="69"/>
      <c r="P71" s="20"/>
      <c r="Q71" s="20"/>
      <c r="R71" s="20"/>
      <c r="S71" s="20"/>
      <c r="T71" s="20"/>
    </row>
    <row r="72" spans="1:20" ht="12.75">
      <c r="A72" s="410" t="s">
        <v>1002</v>
      </c>
      <c r="B72" s="294" t="s">
        <v>1020</v>
      </c>
      <c r="C72" s="294" t="s">
        <v>1034</v>
      </c>
      <c r="D72" s="79">
        <v>45.92</v>
      </c>
      <c r="E72" s="314" t="s">
        <v>454</v>
      </c>
      <c r="F72" s="270">
        <f t="shared" si="0"/>
        <v>1200</v>
      </c>
      <c r="G72" s="300">
        <f t="shared" si="1"/>
        <v>3.8266666666666671E-2</v>
      </c>
      <c r="L72" s="579"/>
      <c r="M72" s="461"/>
      <c r="N72" s="461"/>
      <c r="O72" s="416"/>
      <c r="P72" s="63"/>
      <c r="Q72" s="416"/>
      <c r="R72" s="63"/>
      <c r="S72" s="416"/>
      <c r="T72" s="63"/>
    </row>
    <row r="73" spans="1:20" ht="12.75">
      <c r="A73" s="410" t="s">
        <v>1002</v>
      </c>
      <c r="B73" s="294" t="s">
        <v>1020</v>
      </c>
      <c r="C73" s="294" t="s">
        <v>1035</v>
      </c>
      <c r="D73" s="79">
        <v>45.92</v>
      </c>
      <c r="E73" s="314" t="s">
        <v>454</v>
      </c>
      <c r="F73" s="270">
        <f t="shared" si="0"/>
        <v>1200</v>
      </c>
      <c r="G73" s="300">
        <f t="shared" si="1"/>
        <v>3.8266666666666671E-2</v>
      </c>
      <c r="L73" s="579"/>
      <c r="M73" s="461"/>
      <c r="N73" s="461"/>
      <c r="O73" s="461"/>
      <c r="P73" s="461"/>
      <c r="Q73" s="461"/>
      <c r="R73" s="66"/>
      <c r="S73" s="276"/>
      <c r="T73" s="66"/>
    </row>
    <row r="74" spans="1:20" ht="25.5">
      <c r="A74" s="410" t="s">
        <v>1002</v>
      </c>
      <c r="B74" s="294" t="s">
        <v>1020</v>
      </c>
      <c r="C74" s="294" t="s">
        <v>1036</v>
      </c>
      <c r="D74" s="79">
        <v>45.92</v>
      </c>
      <c r="E74" s="314" t="s">
        <v>454</v>
      </c>
      <c r="F74" s="270">
        <f t="shared" si="0"/>
        <v>1200</v>
      </c>
      <c r="G74" s="300">
        <f t="shared" si="1"/>
        <v>3.8266666666666671E-2</v>
      </c>
    </row>
    <row r="75" spans="1:20" ht="25.5">
      <c r="A75" s="410" t="s">
        <v>1002</v>
      </c>
      <c r="B75" s="294" t="s">
        <v>1020</v>
      </c>
      <c r="C75" s="294" t="s">
        <v>1037</v>
      </c>
      <c r="D75" s="79">
        <v>45.92</v>
      </c>
      <c r="E75" s="314" t="s">
        <v>454</v>
      </c>
      <c r="F75" s="270">
        <f t="shared" si="0"/>
        <v>1200</v>
      </c>
      <c r="G75" s="300">
        <f t="shared" si="1"/>
        <v>3.8266666666666671E-2</v>
      </c>
    </row>
    <row r="76" spans="1:20" ht="25.5">
      <c r="A76" s="410" t="s">
        <v>1002</v>
      </c>
      <c r="B76" s="294" t="s">
        <v>1020</v>
      </c>
      <c r="C76" s="294" t="s">
        <v>1038</v>
      </c>
      <c r="D76" s="79">
        <v>161.97999999999999</v>
      </c>
      <c r="E76" s="314" t="s">
        <v>573</v>
      </c>
      <c r="F76" s="270">
        <f t="shared" si="0"/>
        <v>1500</v>
      </c>
      <c r="G76" s="300">
        <f t="shared" si="1"/>
        <v>0.10798666666666666</v>
      </c>
    </row>
    <row r="77" spans="1:20" ht="25.5">
      <c r="A77" s="410" t="s">
        <v>1002</v>
      </c>
      <c r="B77" s="294" t="s">
        <v>1020</v>
      </c>
      <c r="C77" s="294" t="s">
        <v>1039</v>
      </c>
      <c r="D77" s="79">
        <v>105.43</v>
      </c>
      <c r="E77" s="314" t="s">
        <v>573</v>
      </c>
      <c r="F77" s="270">
        <f t="shared" si="0"/>
        <v>1500</v>
      </c>
      <c r="G77" s="300">
        <f t="shared" si="1"/>
        <v>7.0286666666666678E-2</v>
      </c>
    </row>
    <row r="78" spans="1:20" ht="25.5">
      <c r="A78" s="410" t="s">
        <v>1002</v>
      </c>
      <c r="B78" s="294" t="s">
        <v>1020</v>
      </c>
      <c r="C78" s="294" t="s">
        <v>655</v>
      </c>
      <c r="D78" s="79">
        <v>137.6</v>
      </c>
      <c r="E78" s="314" t="s">
        <v>573</v>
      </c>
      <c r="F78" s="270">
        <f t="shared" si="0"/>
        <v>1500</v>
      </c>
      <c r="G78" s="300">
        <f t="shared" si="1"/>
        <v>9.1733333333333333E-2</v>
      </c>
    </row>
    <row r="79" spans="1:20" ht="25.5">
      <c r="A79" s="410" t="s">
        <v>1002</v>
      </c>
      <c r="B79" s="294" t="s">
        <v>1020</v>
      </c>
      <c r="C79" s="294" t="s">
        <v>1040</v>
      </c>
      <c r="D79" s="79">
        <v>8.4</v>
      </c>
      <c r="E79" s="314" t="s">
        <v>573</v>
      </c>
      <c r="F79" s="270">
        <f t="shared" si="0"/>
        <v>1500</v>
      </c>
      <c r="G79" s="300">
        <f t="shared" si="1"/>
        <v>5.5999999999999999E-3</v>
      </c>
    </row>
    <row r="80" spans="1:20" ht="12.75">
      <c r="A80" s="410" t="s">
        <v>1041</v>
      </c>
      <c r="B80" s="294" t="s">
        <v>978</v>
      </c>
      <c r="C80" s="294" t="s">
        <v>1042</v>
      </c>
      <c r="D80" s="79">
        <v>31.47</v>
      </c>
      <c r="E80" s="314" t="s">
        <v>454</v>
      </c>
      <c r="F80" s="270">
        <f t="shared" si="0"/>
        <v>1200</v>
      </c>
      <c r="G80" s="300">
        <f t="shared" si="1"/>
        <v>2.6224999999999998E-2</v>
      </c>
    </row>
    <row r="81" spans="1:7" ht="12.75">
      <c r="A81" s="614" t="s">
        <v>15</v>
      </c>
      <c r="B81" s="505"/>
      <c r="C81" s="506"/>
      <c r="D81" s="417">
        <f>SUM(D4:D80)</f>
        <v>2701.0000000000005</v>
      </c>
      <c r="E81" s="418"/>
      <c r="F81" s="418"/>
      <c r="G81" s="419">
        <f>SUM(G4:G80)</f>
        <v>2.6426106666666689</v>
      </c>
    </row>
    <row r="82" spans="1:7" ht="12.75">
      <c r="A82" s="420"/>
      <c r="B82" s="420"/>
      <c r="C82" s="420"/>
      <c r="D82" s="88"/>
      <c r="E82" s="354"/>
      <c r="F82" s="310"/>
      <c r="G82" s="311"/>
    </row>
    <row r="83" spans="1:7" ht="12.75">
      <c r="A83" s="420"/>
      <c r="B83" s="420"/>
      <c r="C83" s="420"/>
      <c r="D83" s="88"/>
      <c r="E83" s="354"/>
      <c r="F83" s="310"/>
      <c r="G83" s="311"/>
    </row>
    <row r="84" spans="1:7" ht="12.75">
      <c r="A84" s="420"/>
      <c r="B84" s="420"/>
      <c r="C84" s="420"/>
      <c r="D84" s="88"/>
      <c r="E84" s="354"/>
      <c r="F84" s="310"/>
      <c r="G84" s="311"/>
    </row>
    <row r="85" spans="1:7" ht="12.75">
      <c r="A85" s="420"/>
      <c r="B85" s="420"/>
      <c r="C85" s="420"/>
      <c r="D85" s="88"/>
      <c r="E85" s="354"/>
      <c r="F85" s="310"/>
      <c r="G85" s="311"/>
    </row>
    <row r="86" spans="1:7" ht="12.75">
      <c r="A86" s="420"/>
      <c r="B86" s="420"/>
      <c r="C86" s="420"/>
      <c r="D86" s="88"/>
      <c r="E86" s="354"/>
      <c r="F86" s="310"/>
      <c r="G86" s="311"/>
    </row>
    <row r="87" spans="1:7" ht="12.75">
      <c r="A87" s="420"/>
      <c r="B87" s="420"/>
      <c r="C87" s="420"/>
      <c r="D87" s="88"/>
      <c r="E87" s="354"/>
      <c r="F87" s="310"/>
      <c r="G87" s="311"/>
    </row>
    <row r="88" spans="1:7" ht="12.75">
      <c r="A88" s="420"/>
      <c r="B88" s="420"/>
      <c r="C88" s="420"/>
      <c r="D88" s="88"/>
      <c r="E88" s="354"/>
      <c r="F88" s="310"/>
      <c r="G88" s="311"/>
    </row>
    <row r="89" spans="1:7" ht="12.75">
      <c r="A89" s="420"/>
      <c r="B89" s="420"/>
      <c r="C89" s="420"/>
      <c r="D89" s="88"/>
      <c r="E89" s="354"/>
      <c r="F89" s="310"/>
      <c r="G89" s="311"/>
    </row>
    <row r="90" spans="1:7" ht="12.75">
      <c r="A90" s="420"/>
      <c r="B90" s="420"/>
      <c r="C90" s="420"/>
      <c r="D90" s="88"/>
      <c r="E90" s="354"/>
      <c r="F90" s="310"/>
      <c r="G90" s="311"/>
    </row>
    <row r="91" spans="1:7" ht="12.75">
      <c r="A91" s="420"/>
      <c r="B91" s="420"/>
      <c r="C91" s="420"/>
      <c r="D91" s="88"/>
      <c r="E91" s="354"/>
      <c r="F91" s="310"/>
      <c r="G91" s="311"/>
    </row>
    <row r="92" spans="1:7" ht="12.75">
      <c r="A92" s="420"/>
      <c r="B92" s="420"/>
      <c r="C92" s="420"/>
      <c r="D92" s="88"/>
      <c r="E92" s="354"/>
      <c r="F92" s="310"/>
      <c r="G92" s="311"/>
    </row>
    <row r="93" spans="1:7" ht="12.75">
      <c r="A93" s="420"/>
      <c r="B93" s="420"/>
      <c r="C93" s="420"/>
      <c r="D93" s="88"/>
      <c r="E93" s="354"/>
      <c r="F93" s="310"/>
      <c r="G93" s="311"/>
    </row>
    <row r="94" spans="1:7" ht="12.75">
      <c r="A94" s="420"/>
      <c r="B94" s="420"/>
      <c r="C94" s="420"/>
      <c r="D94" s="88"/>
      <c r="E94" s="354"/>
      <c r="F94" s="310"/>
      <c r="G94" s="311"/>
    </row>
    <row r="95" spans="1:7" ht="12.75">
      <c r="A95" s="420"/>
      <c r="B95" s="420"/>
      <c r="C95" s="420"/>
      <c r="D95" s="88"/>
      <c r="E95" s="354"/>
      <c r="F95" s="310"/>
      <c r="G95" s="311"/>
    </row>
    <row r="96" spans="1:7" ht="12.75">
      <c r="A96" s="420"/>
      <c r="B96" s="420"/>
      <c r="C96" s="420"/>
      <c r="D96" s="88"/>
      <c r="E96" s="354"/>
      <c r="F96" s="310"/>
      <c r="G96" s="311"/>
    </row>
    <row r="97" spans="1:7" ht="12.75">
      <c r="A97" s="420"/>
      <c r="B97" s="420"/>
      <c r="C97" s="420"/>
      <c r="D97" s="88"/>
      <c r="E97" s="354"/>
      <c r="F97" s="310"/>
      <c r="G97" s="311"/>
    </row>
  </sheetData>
  <mergeCells count="42">
    <mergeCell ref="Q51:R51"/>
    <mergeCell ref="S51:T51"/>
    <mergeCell ref="Q52:Q53"/>
    <mergeCell ref="R52:R53"/>
    <mergeCell ref="S52:S53"/>
    <mergeCell ref="T52:T53"/>
    <mergeCell ref="M51:M53"/>
    <mergeCell ref="N51:N53"/>
    <mergeCell ref="A81:C81"/>
    <mergeCell ref="O51:O53"/>
    <mergeCell ref="P51:P53"/>
    <mergeCell ref="L50:T50"/>
    <mergeCell ref="L51:L53"/>
    <mergeCell ref="A1:G1"/>
    <mergeCell ref="I1:M1"/>
    <mergeCell ref="O1:T1"/>
    <mergeCell ref="A2:G2"/>
    <mergeCell ref="I2:M2"/>
    <mergeCell ref="O2:T2"/>
    <mergeCell ref="O10:T10"/>
    <mergeCell ref="O11:T11"/>
    <mergeCell ref="O18:S18"/>
    <mergeCell ref="O19:S19"/>
    <mergeCell ref="O24:T24"/>
    <mergeCell ref="P25:P27"/>
    <mergeCell ref="Q25:Q27"/>
    <mergeCell ref="T25:T27"/>
    <mergeCell ref="O25:O27"/>
    <mergeCell ref="O28:O34"/>
    <mergeCell ref="O35:O40"/>
    <mergeCell ref="O41:O43"/>
    <mergeCell ref="O46:R46"/>
    <mergeCell ref="L54:L60"/>
    <mergeCell ref="L61:L66"/>
    <mergeCell ref="L67:L69"/>
    <mergeCell ref="L72:N72"/>
    <mergeCell ref="L73:Q73"/>
    <mergeCell ref="R25:R27"/>
    <mergeCell ref="S25:S27"/>
    <mergeCell ref="S28:S34"/>
    <mergeCell ref="S35:S40"/>
    <mergeCell ref="S41:S43"/>
  </mergeCells>
  <dataValidations count="3">
    <dataValidation type="list" allowBlank="1" showInputMessage="1" showErrorMessage="1" prompt="IN 05/2017, ANEXO VI-B, ITEM 3.2" sqref="K4:K14" xr:uid="{00000000-0002-0000-0F00-000000000000}">
      <formula1>"Pisos pavimentados adjacentes/contíguos às edificações,Varrição de passeios e arruamentos,Pátios e áreas verdes com alta frequência,Pátios e áreas verdes com média frequência,Pátios e áreas verdes com baixa frequência,coleta de detritos em pátios e áreas "&amp;"verdes com frequência diária"</formula1>
    </dataValidation>
    <dataValidation type="list" allowBlank="1" showInputMessage="1" showErrorMessage="1" prompt="IN 05/2017 - ANEXO VI-B, item 3.1." sqref="E4:E80" xr:uid="{00000000-0002-0000-0F00-000001000000}">
      <formula1>"Pisos acarpetados,Pisos frios,Laboratórios,Almoxarifados/galpões,Oficinas,Áreas com espaços livres - saguão hall e salão,Banheiros"</formula1>
    </dataValidation>
    <dataValidation type="decimal" operator="greaterThan" allowBlank="1" showDropDown="1" showInputMessage="1" showErrorMessage="1" prompt="Informe um número!" sqref="D4:D80 D82:D97" xr:uid="{00000000-0002-0000-0F00-000002000000}">
      <formula1>0</formula1>
    </dataValidation>
  </dataValidations>
  <pageMargins left="0.39370078740157477" right="0.39370078740157477" top="0" bottom="0" header="0" footer="0"/>
  <pageSetup paperSize="9" fitToHeight="0" pageOrder="overThenDown" orientation="portrait"/>
  <headerFooter>
    <oddHeader>&amp;CANEXO I - Q - ÁREA CAMPUS RECANTO DAS EMAS  (44h Segunda à Sexta)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34A853"/>
    <outlinePr summaryBelow="0" summaryRight="0"/>
    <pageSetUpPr fitToPage="1"/>
  </sheetPr>
  <dimension ref="A1:T144"/>
  <sheetViews>
    <sheetView showGridLines="0" topLeftCell="N1" workbookViewId="0">
      <pane ySplit="3" topLeftCell="A4" activePane="bottomLeft" state="frozen"/>
      <selection pane="bottomLeft" activeCell="E132" sqref="E132"/>
    </sheetView>
  </sheetViews>
  <sheetFormatPr defaultColWidth="14.42578125" defaultRowHeight="15" customHeight="1"/>
  <cols>
    <col min="1" max="1" width="21.28515625" customWidth="1"/>
    <col min="3" max="3" width="35.42578125" customWidth="1"/>
    <col min="5" max="5" width="39.140625" customWidth="1"/>
    <col min="6" max="6" width="22.85546875" customWidth="1"/>
    <col min="7" max="7" width="15.5703125" customWidth="1"/>
    <col min="9" max="9" width="48.140625" customWidth="1"/>
    <col min="11" max="11" width="54.28515625" customWidth="1"/>
    <col min="12" max="12" width="22.85546875" customWidth="1"/>
    <col min="13" max="13" width="51.42578125" customWidth="1"/>
    <col min="15" max="15" width="37.140625" customWidth="1"/>
    <col min="16" max="16" width="51.42578125" customWidth="1"/>
    <col min="17" max="17" width="16.28515625" customWidth="1"/>
    <col min="18" max="18" width="28.42578125" customWidth="1"/>
    <col min="19" max="19" width="32.85546875" customWidth="1"/>
    <col min="20" max="20" width="36.42578125" customWidth="1"/>
    <col min="21" max="21" width="5.42578125" customWidth="1"/>
  </cols>
  <sheetData>
    <row r="1" spans="1:20">
      <c r="A1" s="580" t="s">
        <v>57</v>
      </c>
      <c r="B1" s="568"/>
      <c r="C1" s="568"/>
      <c r="D1" s="568"/>
      <c r="E1" s="568"/>
      <c r="F1" s="568"/>
      <c r="G1" s="569"/>
      <c r="I1" s="581" t="s">
        <v>57</v>
      </c>
      <c r="J1" s="430"/>
      <c r="K1" s="430"/>
      <c r="L1" s="430"/>
      <c r="M1" s="430"/>
      <c r="O1" s="582" t="s">
        <v>57</v>
      </c>
      <c r="P1" s="549"/>
      <c r="Q1" s="549"/>
      <c r="R1" s="549"/>
      <c r="S1" s="549"/>
      <c r="T1" s="583"/>
    </row>
    <row r="2" spans="1:20">
      <c r="A2" s="584" t="s">
        <v>59</v>
      </c>
      <c r="B2" s="434"/>
      <c r="C2" s="434"/>
      <c r="D2" s="434"/>
      <c r="E2" s="434"/>
      <c r="F2" s="434"/>
      <c r="G2" s="585"/>
      <c r="I2" s="586" t="s">
        <v>60</v>
      </c>
      <c r="J2" s="434"/>
      <c r="K2" s="434"/>
      <c r="L2" s="434"/>
      <c r="M2" s="435"/>
      <c r="O2" s="587" t="s">
        <v>61</v>
      </c>
      <c r="P2" s="434"/>
      <c r="Q2" s="434"/>
      <c r="R2" s="434"/>
      <c r="S2" s="434"/>
      <c r="T2" s="588"/>
    </row>
    <row r="3" spans="1:20">
      <c r="A3" s="281" t="s">
        <v>438</v>
      </c>
      <c r="B3" s="282" t="s">
        <v>439</v>
      </c>
      <c r="C3" s="282" t="s">
        <v>440</v>
      </c>
      <c r="D3" s="282" t="s">
        <v>441</v>
      </c>
      <c r="E3" s="282" t="s">
        <v>442</v>
      </c>
      <c r="F3" s="282" t="s">
        <v>443</v>
      </c>
      <c r="G3" s="283" t="s">
        <v>444</v>
      </c>
      <c r="I3" s="284" t="s">
        <v>445</v>
      </c>
      <c r="J3" s="285" t="s">
        <v>441</v>
      </c>
      <c r="K3" s="286" t="s">
        <v>442</v>
      </c>
      <c r="L3" s="282" t="s">
        <v>443</v>
      </c>
      <c r="M3" s="287" t="s">
        <v>444</v>
      </c>
      <c r="O3" s="288" t="s">
        <v>2</v>
      </c>
      <c r="P3" s="289" t="s">
        <v>446</v>
      </c>
      <c r="Q3" s="289" t="s">
        <v>447</v>
      </c>
      <c r="R3" s="290" t="s">
        <v>448</v>
      </c>
      <c r="S3" s="290" t="s">
        <v>449</v>
      </c>
      <c r="T3" s="291" t="s">
        <v>450</v>
      </c>
    </row>
    <row r="4" spans="1:20" ht="25.5">
      <c r="A4" s="372" t="s">
        <v>773</v>
      </c>
      <c r="B4" s="373" t="s">
        <v>774</v>
      </c>
      <c r="C4" s="373" t="s">
        <v>655</v>
      </c>
      <c r="D4" s="421">
        <v>25.64</v>
      </c>
      <c r="E4" s="270" t="s">
        <v>573</v>
      </c>
      <c r="F4" s="270">
        <f t="shared" ref="F4:F143" si="0">IF(E4="Pisos acarpetados",1200,IF(E4="Pisos frios",1200,IF(E4="Laboratórios",450,IF(E4="Almoxarifados/galpões",2500,IF(E4="Oficinas",1800,IF(E4="Áreas com espaços livres - saguão hall e salão",1500,IF(E4="Banheiros",300,0)))))))</f>
        <v>1500</v>
      </c>
      <c r="G4" s="296">
        <f t="shared" ref="G4:G69" si="1">D4/F4</f>
        <v>1.7093333333333335E-2</v>
      </c>
      <c r="I4" s="421" t="s">
        <v>1043</v>
      </c>
      <c r="J4" s="421">
        <v>219.8</v>
      </c>
      <c r="K4" s="270" t="s">
        <v>456</v>
      </c>
      <c r="L4" s="269">
        <f t="shared" ref="L4:L19" si="2">IF(K4="Pisos pavimentados adjacentes/contíguos às edificações",2700,IF(K4="Varrição de passeios e arruamentos",9000,IF(K4="Pátios e áreas verdes com alta frequência",2700,IF(K4="Pátios e áreas verdes com média frequência",2700,IF(K4="Pátios e áreas verdes com baixa frequência",2700,IF(K4="coleta de detritos em pátios e áreas verdes com frequência diária",100000,0))))))</f>
        <v>2700</v>
      </c>
      <c r="M4" s="269">
        <f t="shared" ref="M4:M19" si="3">J4/L4</f>
        <v>8.1407407407407414E-2</v>
      </c>
      <c r="O4" s="297" t="s">
        <v>457</v>
      </c>
      <c r="P4" s="298">
        <v>369.91</v>
      </c>
      <c r="Q4" s="270">
        <v>380</v>
      </c>
      <c r="R4" s="270">
        <v>8</v>
      </c>
      <c r="S4" s="299">
        <v>1132.5999999999999</v>
      </c>
      <c r="T4" s="300">
        <f>(P4*R4)/(Q4*S4)</f>
        <v>6.875842263260129E-3</v>
      </c>
    </row>
    <row r="5" spans="1:20" ht="30">
      <c r="A5" s="372" t="s">
        <v>773</v>
      </c>
      <c r="B5" s="373" t="s">
        <v>774</v>
      </c>
      <c r="C5" s="373" t="s">
        <v>777</v>
      </c>
      <c r="D5" s="421">
        <v>5.9</v>
      </c>
      <c r="E5" s="270" t="s">
        <v>467</v>
      </c>
      <c r="F5" s="270">
        <f t="shared" si="0"/>
        <v>300</v>
      </c>
      <c r="G5" s="296">
        <f t="shared" si="1"/>
        <v>1.9666666666666669E-2</v>
      </c>
      <c r="I5" s="421" t="s">
        <v>463</v>
      </c>
      <c r="J5" s="421">
        <v>16.739999999999998</v>
      </c>
      <c r="K5" s="270" t="s">
        <v>456</v>
      </c>
      <c r="L5" s="269">
        <f t="shared" si="2"/>
        <v>2700</v>
      </c>
      <c r="M5" s="269">
        <f t="shared" si="3"/>
        <v>6.1999999999999998E-3</v>
      </c>
      <c r="O5" s="288" t="s">
        <v>2</v>
      </c>
      <c r="P5" s="289" t="s">
        <v>446</v>
      </c>
      <c r="Q5" s="289" t="s">
        <v>447</v>
      </c>
      <c r="R5" s="302" t="s">
        <v>461</v>
      </c>
      <c r="S5" s="302" t="s">
        <v>462</v>
      </c>
      <c r="T5" s="291" t="s">
        <v>450</v>
      </c>
    </row>
    <row r="6" spans="1:20" ht="12.75">
      <c r="A6" s="372" t="s">
        <v>773</v>
      </c>
      <c r="B6" s="373" t="s">
        <v>774</v>
      </c>
      <c r="C6" s="373" t="s">
        <v>779</v>
      </c>
      <c r="D6" s="421">
        <v>4.55</v>
      </c>
      <c r="E6" s="270" t="s">
        <v>467</v>
      </c>
      <c r="F6" s="270">
        <f t="shared" si="0"/>
        <v>300</v>
      </c>
      <c r="G6" s="296">
        <f t="shared" si="1"/>
        <v>1.5166666666666667E-2</v>
      </c>
      <c r="I6" s="421" t="s">
        <v>1044</v>
      </c>
      <c r="J6" s="421">
        <v>8.61</v>
      </c>
      <c r="K6" s="270" t="s">
        <v>456</v>
      </c>
      <c r="L6" s="269">
        <f t="shared" si="2"/>
        <v>2700</v>
      </c>
      <c r="M6" s="269">
        <f t="shared" si="3"/>
        <v>3.1888888888888887E-3</v>
      </c>
      <c r="O6" s="297" t="s">
        <v>465</v>
      </c>
      <c r="P6" s="298">
        <v>369.91</v>
      </c>
      <c r="Q6" s="270">
        <v>380</v>
      </c>
      <c r="R6" s="270">
        <v>16</v>
      </c>
      <c r="S6" s="270">
        <v>188.76</v>
      </c>
      <c r="T6" s="300">
        <f>(P6*R6)/(Q6*S6)</f>
        <v>8.2513021269002132E-2</v>
      </c>
    </row>
    <row r="7" spans="1:20" ht="12.75">
      <c r="A7" s="372" t="s">
        <v>773</v>
      </c>
      <c r="B7" s="373" t="s">
        <v>774</v>
      </c>
      <c r="C7" s="373" t="s">
        <v>781</v>
      </c>
      <c r="D7" s="421">
        <v>5.9</v>
      </c>
      <c r="E7" s="270" t="s">
        <v>467</v>
      </c>
      <c r="F7" s="270">
        <f t="shared" si="0"/>
        <v>300</v>
      </c>
      <c r="G7" s="296">
        <f t="shared" si="1"/>
        <v>1.9666666666666669E-2</v>
      </c>
      <c r="I7" s="421" t="s">
        <v>1045</v>
      </c>
      <c r="J7" s="421">
        <v>10</v>
      </c>
      <c r="K7" s="270" t="s">
        <v>456</v>
      </c>
      <c r="L7" s="269">
        <f t="shared" si="2"/>
        <v>2700</v>
      </c>
      <c r="M7" s="269">
        <f t="shared" si="3"/>
        <v>3.7037037037037038E-3</v>
      </c>
      <c r="O7" s="398" t="s">
        <v>15</v>
      </c>
      <c r="P7" s="399">
        <f>P4+P6</f>
        <v>739.82</v>
      </c>
      <c r="Q7" s="399"/>
      <c r="R7" s="399"/>
      <c r="S7" s="399"/>
      <c r="T7" s="400">
        <f>T4+T6</f>
        <v>8.9388863532262261E-2</v>
      </c>
    </row>
    <row r="8" spans="1:20" ht="12.75">
      <c r="A8" s="372" t="s">
        <v>773</v>
      </c>
      <c r="B8" s="373" t="s">
        <v>774</v>
      </c>
      <c r="C8" s="373" t="s">
        <v>783</v>
      </c>
      <c r="D8" s="421">
        <v>8.6999999999999993</v>
      </c>
      <c r="E8" s="270" t="s">
        <v>582</v>
      </c>
      <c r="F8" s="270">
        <f t="shared" si="0"/>
        <v>1200</v>
      </c>
      <c r="G8" s="296">
        <f t="shared" si="1"/>
        <v>7.2499999999999995E-3</v>
      </c>
      <c r="I8" s="421" t="s">
        <v>1046</v>
      </c>
      <c r="J8" s="421">
        <v>3.6</v>
      </c>
      <c r="K8" s="270" t="s">
        <v>456</v>
      </c>
      <c r="L8" s="269">
        <f t="shared" si="2"/>
        <v>2700</v>
      </c>
      <c r="M8" s="269">
        <f t="shared" si="3"/>
        <v>1.3333333333333333E-3</v>
      </c>
      <c r="O8" s="354"/>
      <c r="P8" s="88"/>
      <c r="Q8" s="310"/>
      <c r="R8" s="310"/>
      <c r="S8" s="310"/>
      <c r="T8" s="311"/>
    </row>
    <row r="9" spans="1:20" ht="12.75">
      <c r="A9" s="372" t="s">
        <v>773</v>
      </c>
      <c r="B9" s="373" t="s">
        <v>774</v>
      </c>
      <c r="C9" s="373" t="s">
        <v>773</v>
      </c>
      <c r="D9" s="421">
        <v>220.8</v>
      </c>
      <c r="E9" s="270" t="s">
        <v>582</v>
      </c>
      <c r="F9" s="270">
        <f t="shared" si="0"/>
        <v>1200</v>
      </c>
      <c r="G9" s="296">
        <f t="shared" si="1"/>
        <v>0.184</v>
      </c>
      <c r="I9" s="421" t="s">
        <v>1047</v>
      </c>
      <c r="J9" s="421">
        <v>7.2</v>
      </c>
      <c r="K9" s="270" t="s">
        <v>456</v>
      </c>
      <c r="L9" s="269">
        <f t="shared" si="2"/>
        <v>2700</v>
      </c>
      <c r="M9" s="269">
        <f t="shared" si="3"/>
        <v>2.6666666666666666E-3</v>
      </c>
      <c r="O9" s="354"/>
      <c r="Q9" s="310"/>
      <c r="R9" s="310"/>
      <c r="S9" s="310"/>
      <c r="T9" s="311"/>
    </row>
    <row r="10" spans="1:20">
      <c r="A10" s="372" t="s">
        <v>773</v>
      </c>
      <c r="B10" s="373" t="s">
        <v>774</v>
      </c>
      <c r="C10" s="373" t="s">
        <v>786</v>
      </c>
      <c r="D10" s="421">
        <v>1.79</v>
      </c>
      <c r="E10" s="270" t="s">
        <v>467</v>
      </c>
      <c r="F10" s="270">
        <f t="shared" si="0"/>
        <v>300</v>
      </c>
      <c r="G10" s="296">
        <f t="shared" si="1"/>
        <v>5.966666666666667E-3</v>
      </c>
      <c r="I10" s="421" t="s">
        <v>1048</v>
      </c>
      <c r="J10" s="421">
        <v>6.37</v>
      </c>
      <c r="K10" s="270" t="s">
        <v>456</v>
      </c>
      <c r="L10" s="269">
        <f t="shared" si="2"/>
        <v>2700</v>
      </c>
      <c r="M10" s="269">
        <f t="shared" si="3"/>
        <v>2.3592592592592593E-3</v>
      </c>
      <c r="O10" s="582" t="s">
        <v>57</v>
      </c>
      <c r="P10" s="549"/>
      <c r="Q10" s="549"/>
      <c r="R10" s="549"/>
      <c r="S10" s="549"/>
      <c r="T10" s="583"/>
    </row>
    <row r="11" spans="1:20">
      <c r="A11" s="372" t="s">
        <v>773</v>
      </c>
      <c r="B11" s="373" t="s">
        <v>774</v>
      </c>
      <c r="C11" s="373" t="s">
        <v>788</v>
      </c>
      <c r="D11" s="421">
        <v>2.37</v>
      </c>
      <c r="E11" s="270" t="s">
        <v>582</v>
      </c>
      <c r="F11" s="270">
        <f t="shared" si="0"/>
        <v>1200</v>
      </c>
      <c r="G11" s="296">
        <f t="shared" si="1"/>
        <v>1.9750000000000002E-3</v>
      </c>
      <c r="I11" s="421" t="s">
        <v>1049</v>
      </c>
      <c r="J11" s="421">
        <v>6</v>
      </c>
      <c r="K11" s="270" t="s">
        <v>456</v>
      </c>
      <c r="L11" s="269">
        <f t="shared" si="2"/>
        <v>2700</v>
      </c>
      <c r="M11" s="269">
        <f t="shared" si="3"/>
        <v>2.2222222222222222E-3</v>
      </c>
      <c r="O11" s="587" t="s">
        <v>62</v>
      </c>
      <c r="P11" s="434"/>
      <c r="Q11" s="434"/>
      <c r="R11" s="434"/>
      <c r="S11" s="434"/>
      <c r="T11" s="588"/>
    </row>
    <row r="12" spans="1:20" ht="30">
      <c r="A12" s="372" t="s">
        <v>766</v>
      </c>
      <c r="B12" s="373" t="s">
        <v>774</v>
      </c>
      <c r="C12" s="373" t="s">
        <v>766</v>
      </c>
      <c r="D12" s="421">
        <v>103.37</v>
      </c>
      <c r="E12" s="270" t="s">
        <v>582</v>
      </c>
      <c r="F12" s="270">
        <f t="shared" si="0"/>
        <v>1200</v>
      </c>
      <c r="G12" s="296">
        <f t="shared" si="1"/>
        <v>8.6141666666666672E-2</v>
      </c>
      <c r="I12" s="421" t="s">
        <v>1050</v>
      </c>
      <c r="J12" s="421">
        <v>16.2</v>
      </c>
      <c r="K12" s="270" t="s">
        <v>456</v>
      </c>
      <c r="L12" s="269">
        <f t="shared" si="2"/>
        <v>2700</v>
      </c>
      <c r="M12" s="269">
        <f t="shared" si="3"/>
        <v>6.0000000000000001E-3</v>
      </c>
      <c r="O12" s="288" t="s">
        <v>2</v>
      </c>
      <c r="P12" s="289" t="s">
        <v>446</v>
      </c>
      <c r="Q12" s="289" t="s">
        <v>447</v>
      </c>
      <c r="R12" s="290" t="s">
        <v>448</v>
      </c>
      <c r="S12" s="290" t="s">
        <v>449</v>
      </c>
      <c r="T12" s="291" t="s">
        <v>478</v>
      </c>
    </row>
    <row r="13" spans="1:20" ht="12.75">
      <c r="A13" s="372" t="s">
        <v>766</v>
      </c>
      <c r="B13" s="373" t="s">
        <v>774</v>
      </c>
      <c r="C13" s="373" t="s">
        <v>783</v>
      </c>
      <c r="D13" s="421">
        <v>3.22</v>
      </c>
      <c r="E13" s="270" t="s">
        <v>582</v>
      </c>
      <c r="F13" s="270">
        <f t="shared" si="0"/>
        <v>1200</v>
      </c>
      <c r="G13" s="296">
        <f t="shared" si="1"/>
        <v>2.6833333333333336E-3</v>
      </c>
      <c r="I13" s="421" t="s">
        <v>1051</v>
      </c>
      <c r="J13" s="422">
        <v>5362.91</v>
      </c>
      <c r="K13" s="270" t="s">
        <v>475</v>
      </c>
      <c r="L13" s="269">
        <f t="shared" si="2"/>
        <v>9000</v>
      </c>
      <c r="M13" s="269">
        <f t="shared" si="3"/>
        <v>0.59587888888888885</v>
      </c>
      <c r="O13" s="381" t="s">
        <v>47</v>
      </c>
      <c r="P13" s="298">
        <v>0</v>
      </c>
      <c r="Q13" s="270">
        <v>160</v>
      </c>
      <c r="R13" s="270">
        <v>8</v>
      </c>
      <c r="S13" s="270">
        <v>1132.5999999999999</v>
      </c>
      <c r="T13" s="300">
        <f t="shared" ref="T13:T14" si="4">(P13*R13)/(Q13*S13)</f>
        <v>0</v>
      </c>
    </row>
    <row r="14" spans="1:20" ht="25.5">
      <c r="A14" s="372" t="s">
        <v>766</v>
      </c>
      <c r="B14" s="373" t="s">
        <v>790</v>
      </c>
      <c r="C14" s="373" t="s">
        <v>791</v>
      </c>
      <c r="D14" s="421">
        <v>67.92</v>
      </c>
      <c r="E14" s="270" t="s">
        <v>582</v>
      </c>
      <c r="F14" s="270">
        <f t="shared" si="0"/>
        <v>1200</v>
      </c>
      <c r="G14" s="296">
        <f t="shared" si="1"/>
        <v>5.6600000000000004E-2</v>
      </c>
      <c r="I14" s="421" t="s">
        <v>1052</v>
      </c>
      <c r="J14" s="422">
        <v>7120.22</v>
      </c>
      <c r="K14" s="270" t="s">
        <v>776</v>
      </c>
      <c r="L14" s="269">
        <f t="shared" si="2"/>
        <v>100000</v>
      </c>
      <c r="M14" s="269">
        <f t="shared" si="3"/>
        <v>7.1202200000000007E-2</v>
      </c>
      <c r="O14" s="297" t="s">
        <v>1053</v>
      </c>
      <c r="P14" s="298">
        <v>0</v>
      </c>
      <c r="Q14" s="270">
        <v>160</v>
      </c>
      <c r="R14" s="270">
        <v>8</v>
      </c>
      <c r="S14" s="270">
        <v>1132.5999999999999</v>
      </c>
      <c r="T14" s="300">
        <f t="shared" si="4"/>
        <v>0</v>
      </c>
    </row>
    <row r="15" spans="1:20" ht="12.75">
      <c r="A15" s="372" t="s">
        <v>792</v>
      </c>
      <c r="B15" s="373" t="s">
        <v>774</v>
      </c>
      <c r="C15" s="373" t="s">
        <v>579</v>
      </c>
      <c r="D15" s="421">
        <v>267.64</v>
      </c>
      <c r="E15" s="270" t="s">
        <v>573</v>
      </c>
      <c r="F15" s="270">
        <f t="shared" si="0"/>
        <v>1500</v>
      </c>
      <c r="G15" s="296">
        <f t="shared" si="1"/>
        <v>0.17842666666666665</v>
      </c>
      <c r="I15" s="421" t="s">
        <v>1054</v>
      </c>
      <c r="J15" s="421">
        <v>807.4</v>
      </c>
      <c r="K15" s="270" t="s">
        <v>776</v>
      </c>
      <c r="L15" s="269">
        <f t="shared" si="2"/>
        <v>100000</v>
      </c>
      <c r="M15" s="269">
        <f t="shared" si="3"/>
        <v>8.0739999999999996E-3</v>
      </c>
      <c r="O15" s="303" t="s">
        <v>15</v>
      </c>
      <c r="P15" s="304">
        <f>P13+P14</f>
        <v>0</v>
      </c>
      <c r="Q15" s="304"/>
      <c r="R15" s="304"/>
      <c r="S15" s="304"/>
      <c r="T15" s="305">
        <f>T13+T14</f>
        <v>0</v>
      </c>
    </row>
    <row r="16" spans="1:20" ht="12.75">
      <c r="A16" s="372" t="s">
        <v>792</v>
      </c>
      <c r="B16" s="373" t="s">
        <v>774</v>
      </c>
      <c r="C16" s="373" t="s">
        <v>1055</v>
      </c>
      <c r="D16" s="421">
        <v>53.54</v>
      </c>
      <c r="E16" s="270" t="s">
        <v>489</v>
      </c>
      <c r="F16" s="270">
        <f t="shared" si="0"/>
        <v>2500</v>
      </c>
      <c r="G16" s="296">
        <f t="shared" si="1"/>
        <v>2.1416000000000001E-2</v>
      </c>
      <c r="I16" s="421" t="s">
        <v>1056</v>
      </c>
      <c r="J16" s="421">
        <v>703.84</v>
      </c>
      <c r="K16" s="270" t="s">
        <v>475</v>
      </c>
      <c r="L16" s="269">
        <f t="shared" si="2"/>
        <v>9000</v>
      </c>
      <c r="M16" s="269">
        <f t="shared" si="3"/>
        <v>7.8204444444444451E-2</v>
      </c>
    </row>
    <row r="17" spans="1:20">
      <c r="A17" s="372" t="s">
        <v>794</v>
      </c>
      <c r="B17" s="373" t="s">
        <v>774</v>
      </c>
      <c r="C17" s="373" t="s">
        <v>655</v>
      </c>
      <c r="D17" s="421">
        <v>1672.11</v>
      </c>
      <c r="E17" s="270" t="s">
        <v>573</v>
      </c>
      <c r="F17" s="270">
        <f t="shared" si="0"/>
        <v>1500</v>
      </c>
      <c r="G17" s="296">
        <f t="shared" si="1"/>
        <v>1.1147399999999998</v>
      </c>
      <c r="I17" s="421" t="s">
        <v>1057</v>
      </c>
      <c r="J17" s="422">
        <v>1054.45</v>
      </c>
      <c r="K17" s="270" t="s">
        <v>475</v>
      </c>
      <c r="L17" s="269">
        <f t="shared" si="2"/>
        <v>9000</v>
      </c>
      <c r="M17" s="269">
        <f t="shared" si="3"/>
        <v>0.11716111111111112</v>
      </c>
      <c r="T17" s="316"/>
    </row>
    <row r="18" spans="1:20">
      <c r="A18" s="372" t="s">
        <v>794</v>
      </c>
      <c r="B18" s="373" t="s">
        <v>774</v>
      </c>
      <c r="C18" s="373" t="s">
        <v>796</v>
      </c>
      <c r="D18" s="421">
        <v>38.26</v>
      </c>
      <c r="E18" s="270" t="s">
        <v>454</v>
      </c>
      <c r="F18" s="270">
        <f t="shared" si="0"/>
        <v>1200</v>
      </c>
      <c r="G18" s="296">
        <f t="shared" si="1"/>
        <v>3.1883333333333333E-2</v>
      </c>
      <c r="I18" s="421" t="s">
        <v>1058</v>
      </c>
      <c r="J18" s="421">
        <v>622.87</v>
      </c>
      <c r="K18" s="270" t="s">
        <v>475</v>
      </c>
      <c r="L18" s="269">
        <f t="shared" si="2"/>
        <v>9000</v>
      </c>
      <c r="M18" s="269">
        <f t="shared" si="3"/>
        <v>6.9207777777777785E-2</v>
      </c>
      <c r="O18" s="567" t="s">
        <v>57</v>
      </c>
      <c r="P18" s="568"/>
      <c r="Q18" s="568"/>
      <c r="R18" s="568"/>
      <c r="S18" s="569"/>
      <c r="T18" s="317"/>
    </row>
    <row r="19" spans="1:20" ht="12.75">
      <c r="A19" s="372" t="s">
        <v>794</v>
      </c>
      <c r="B19" s="373" t="s">
        <v>774</v>
      </c>
      <c r="C19" s="373" t="s">
        <v>797</v>
      </c>
      <c r="D19" s="421">
        <v>14.09</v>
      </c>
      <c r="E19" s="270" t="s">
        <v>454</v>
      </c>
      <c r="F19" s="270">
        <f t="shared" si="0"/>
        <v>1200</v>
      </c>
      <c r="G19" s="296">
        <f t="shared" si="1"/>
        <v>1.1741666666666666E-2</v>
      </c>
      <c r="I19" s="423" t="s">
        <v>997</v>
      </c>
      <c r="J19" s="351">
        <v>31.68</v>
      </c>
      <c r="K19" s="351" t="s">
        <v>475</v>
      </c>
      <c r="L19" s="412">
        <f t="shared" si="2"/>
        <v>9000</v>
      </c>
      <c r="M19" s="412">
        <f t="shared" si="3"/>
        <v>3.5200000000000001E-3</v>
      </c>
      <c r="O19" s="594" t="s">
        <v>63</v>
      </c>
      <c r="P19" s="434"/>
      <c r="Q19" s="434"/>
      <c r="R19" s="434"/>
      <c r="S19" s="585"/>
      <c r="T19" s="319"/>
    </row>
    <row r="20" spans="1:20" ht="12.75">
      <c r="A20" s="372" t="s">
        <v>794</v>
      </c>
      <c r="B20" s="373" t="s">
        <v>774</v>
      </c>
      <c r="C20" s="373" t="s">
        <v>798</v>
      </c>
      <c r="D20" s="421">
        <v>6.1</v>
      </c>
      <c r="E20" s="270" t="s">
        <v>454</v>
      </c>
      <c r="F20" s="270">
        <f t="shared" si="0"/>
        <v>1200</v>
      </c>
      <c r="G20" s="296">
        <f t="shared" si="1"/>
        <v>5.0833333333333329E-3</v>
      </c>
      <c r="I20" s="307" t="s">
        <v>15</v>
      </c>
      <c r="J20" s="378">
        <f>SUM(J4:J19)</f>
        <v>15997.890000000003</v>
      </c>
      <c r="K20" s="308"/>
      <c r="L20" s="308"/>
      <c r="M20" s="308">
        <f>SUM(M4:M19)</f>
        <v>1.0523299037037037</v>
      </c>
      <c r="O20" s="320" t="s">
        <v>445</v>
      </c>
      <c r="P20" s="321" t="s">
        <v>441</v>
      </c>
      <c r="Q20" s="282" t="s">
        <v>442</v>
      </c>
      <c r="R20" s="282" t="s">
        <v>443</v>
      </c>
      <c r="S20" s="283" t="s">
        <v>444</v>
      </c>
      <c r="T20" s="67"/>
    </row>
    <row r="21" spans="1:20" ht="25.5">
      <c r="A21" s="372" t="s">
        <v>794</v>
      </c>
      <c r="B21" s="373" t="s">
        <v>774</v>
      </c>
      <c r="C21" s="373" t="s">
        <v>815</v>
      </c>
      <c r="D21" s="421">
        <v>14.57</v>
      </c>
      <c r="E21" s="270" t="s">
        <v>454</v>
      </c>
      <c r="F21" s="270">
        <f t="shared" si="0"/>
        <v>1200</v>
      </c>
      <c r="G21" s="296">
        <f t="shared" si="1"/>
        <v>1.2141666666666667E-2</v>
      </c>
      <c r="I21" s="309"/>
      <c r="J21" s="315"/>
      <c r="K21" s="311"/>
      <c r="L21" s="311"/>
      <c r="M21" s="311"/>
      <c r="O21" s="322"/>
      <c r="P21" s="323">
        <v>0</v>
      </c>
      <c r="Q21" s="324" t="s">
        <v>48</v>
      </c>
      <c r="R21" s="82">
        <v>450</v>
      </c>
      <c r="S21" s="325">
        <f>P21/R21</f>
        <v>0</v>
      </c>
    </row>
    <row r="22" spans="1:20" ht="12.75">
      <c r="A22" s="372" t="s">
        <v>794</v>
      </c>
      <c r="B22" s="373" t="s">
        <v>774</v>
      </c>
      <c r="C22" s="373" t="s">
        <v>800</v>
      </c>
      <c r="D22" s="421">
        <v>14.57</v>
      </c>
      <c r="E22" s="270" t="s">
        <v>454</v>
      </c>
      <c r="F22" s="270">
        <f t="shared" si="0"/>
        <v>1200</v>
      </c>
      <c r="G22" s="296">
        <f t="shared" si="1"/>
        <v>1.2141666666666667E-2</v>
      </c>
      <c r="I22" s="309"/>
      <c r="J22" s="315"/>
      <c r="K22" s="311"/>
      <c r="L22" s="311"/>
      <c r="M22" s="311"/>
    </row>
    <row r="23" spans="1:20" ht="12.75">
      <c r="A23" s="372" t="s">
        <v>794</v>
      </c>
      <c r="B23" s="373" t="s">
        <v>774</v>
      </c>
      <c r="C23" s="373" t="s">
        <v>814</v>
      </c>
      <c r="D23" s="421">
        <v>11.05</v>
      </c>
      <c r="E23" s="270" t="s">
        <v>454</v>
      </c>
      <c r="F23" s="270">
        <f t="shared" si="0"/>
        <v>1200</v>
      </c>
      <c r="G23" s="296">
        <f t="shared" si="1"/>
        <v>9.208333333333334E-3</v>
      </c>
      <c r="I23" s="309"/>
      <c r="J23" s="315"/>
      <c r="K23" s="311"/>
      <c r="L23" s="311"/>
      <c r="M23" s="311"/>
    </row>
    <row r="24" spans="1:20" ht="12.75">
      <c r="A24" s="372" t="s">
        <v>794</v>
      </c>
      <c r="B24" s="373" t="s">
        <v>774</v>
      </c>
      <c r="C24" s="373" t="s">
        <v>1059</v>
      </c>
      <c r="D24" s="421">
        <v>22.08</v>
      </c>
      <c r="E24" s="270" t="s">
        <v>454</v>
      </c>
      <c r="F24" s="270">
        <f t="shared" si="0"/>
        <v>1200</v>
      </c>
      <c r="G24" s="296">
        <f t="shared" si="1"/>
        <v>1.84E-2</v>
      </c>
      <c r="I24" s="309"/>
      <c r="J24" s="315"/>
      <c r="K24" s="311"/>
      <c r="L24" s="311"/>
      <c r="M24" s="311"/>
      <c r="O24" s="567" t="s">
        <v>57</v>
      </c>
      <c r="P24" s="568"/>
      <c r="Q24" s="568"/>
      <c r="R24" s="568"/>
      <c r="S24" s="568"/>
      <c r="T24" s="569"/>
    </row>
    <row r="25" spans="1:20" ht="12.75">
      <c r="A25" s="372" t="s">
        <v>794</v>
      </c>
      <c r="B25" s="373" t="s">
        <v>774</v>
      </c>
      <c r="C25" s="373" t="s">
        <v>655</v>
      </c>
      <c r="D25" s="421">
        <v>7.75</v>
      </c>
      <c r="E25" s="270" t="s">
        <v>454</v>
      </c>
      <c r="F25" s="270">
        <f t="shared" si="0"/>
        <v>1200</v>
      </c>
      <c r="G25" s="296">
        <f t="shared" si="1"/>
        <v>6.4583333333333333E-3</v>
      </c>
      <c r="I25" s="309"/>
      <c r="J25" s="315"/>
      <c r="K25" s="311"/>
      <c r="L25" s="311"/>
      <c r="M25" s="311"/>
      <c r="O25" s="559" t="s">
        <v>17</v>
      </c>
      <c r="P25" s="570" t="s">
        <v>2</v>
      </c>
      <c r="Q25" s="605" t="s">
        <v>435</v>
      </c>
      <c r="R25" s="572" t="s">
        <v>18</v>
      </c>
      <c r="S25" s="605" t="s">
        <v>21</v>
      </c>
      <c r="T25" s="607" t="s">
        <v>22</v>
      </c>
    </row>
    <row r="26" spans="1:20" ht="12.75">
      <c r="A26" s="372" t="s">
        <v>794</v>
      </c>
      <c r="B26" s="373" t="s">
        <v>774</v>
      </c>
      <c r="C26" s="373" t="s">
        <v>803</v>
      </c>
      <c r="D26" s="421">
        <v>23.23</v>
      </c>
      <c r="E26" s="270" t="s">
        <v>454</v>
      </c>
      <c r="F26" s="270">
        <f t="shared" si="0"/>
        <v>1200</v>
      </c>
      <c r="G26" s="296">
        <f t="shared" si="1"/>
        <v>1.9358333333333335E-2</v>
      </c>
      <c r="I26" s="309"/>
      <c r="J26" s="315"/>
      <c r="K26" s="311"/>
      <c r="L26" s="311"/>
      <c r="M26" s="311"/>
      <c r="O26" s="524"/>
      <c r="P26" s="437"/>
      <c r="Q26" s="513"/>
      <c r="R26" s="437"/>
      <c r="S26" s="513"/>
      <c r="T26" s="526"/>
    </row>
    <row r="27" spans="1:20" ht="12.75">
      <c r="A27" s="372" t="s">
        <v>794</v>
      </c>
      <c r="B27" s="373" t="s">
        <v>774</v>
      </c>
      <c r="C27" s="373" t="s">
        <v>788</v>
      </c>
      <c r="D27" s="421">
        <v>3.46</v>
      </c>
      <c r="E27" s="270" t="s">
        <v>454</v>
      </c>
      <c r="F27" s="270">
        <f t="shared" si="0"/>
        <v>1200</v>
      </c>
      <c r="G27" s="296">
        <f t="shared" si="1"/>
        <v>2.8833333333333332E-3</v>
      </c>
      <c r="I27" s="309"/>
      <c r="J27" s="315"/>
      <c r="K27" s="311"/>
      <c r="L27" s="311"/>
      <c r="M27" s="311"/>
      <c r="O27" s="525"/>
      <c r="P27" s="438"/>
      <c r="Q27" s="431"/>
      <c r="R27" s="438"/>
      <c r="S27" s="431"/>
      <c r="T27" s="527"/>
    </row>
    <row r="28" spans="1:20" ht="12.75">
      <c r="A28" s="372" t="s">
        <v>794</v>
      </c>
      <c r="B28" s="373" t="s">
        <v>774</v>
      </c>
      <c r="C28" s="373" t="s">
        <v>1060</v>
      </c>
      <c r="D28" s="421">
        <v>29.78</v>
      </c>
      <c r="E28" s="270" t="s">
        <v>454</v>
      </c>
      <c r="F28" s="270">
        <f t="shared" si="0"/>
        <v>1200</v>
      </c>
      <c r="G28" s="296">
        <f t="shared" si="1"/>
        <v>2.4816666666666667E-2</v>
      </c>
      <c r="I28" s="309"/>
      <c r="J28" s="315"/>
      <c r="K28" s="311"/>
      <c r="L28" s="311"/>
      <c r="M28" s="311"/>
      <c r="O28" s="560" t="s">
        <v>25</v>
      </c>
      <c r="P28" s="265" t="s">
        <v>604</v>
      </c>
      <c r="Q28" s="266">
        <f>SUMIF(E4:E143,"Pisos acarpetados",D4:D143)</f>
        <v>435.38000000000005</v>
      </c>
      <c r="R28" s="267">
        <v>1200</v>
      </c>
      <c r="S28" s="606">
        <f>SUM(Q28:Q34)</f>
        <v>7242.36</v>
      </c>
      <c r="T28" s="328">
        <f t="shared" ref="T28:T40" si="5">Q28/R28</f>
        <v>0.36281666666666673</v>
      </c>
    </row>
    <row r="29" spans="1:20" ht="12.75">
      <c r="A29" s="372" t="s">
        <v>794</v>
      </c>
      <c r="B29" s="373" t="s">
        <v>774</v>
      </c>
      <c r="C29" s="373" t="s">
        <v>1061</v>
      </c>
      <c r="D29" s="421">
        <v>59.69</v>
      </c>
      <c r="E29" s="270" t="s">
        <v>454</v>
      </c>
      <c r="F29" s="270">
        <f t="shared" si="0"/>
        <v>1200</v>
      </c>
      <c r="G29" s="296">
        <f t="shared" si="1"/>
        <v>4.9741666666666663E-2</v>
      </c>
      <c r="I29" s="309"/>
      <c r="J29" s="315"/>
      <c r="K29" s="311"/>
      <c r="L29" s="311"/>
      <c r="M29" s="311"/>
      <c r="O29" s="524"/>
      <c r="P29" s="21" t="s">
        <v>51</v>
      </c>
      <c r="Q29" s="266">
        <f>SUMIF(E4:E143,"Pisos frios",D4:D143)</f>
        <v>3835.05</v>
      </c>
      <c r="R29" s="22">
        <v>1200</v>
      </c>
      <c r="S29" s="437"/>
      <c r="T29" s="328">
        <f t="shared" si="5"/>
        <v>3.195875</v>
      </c>
    </row>
    <row r="30" spans="1:20" ht="12.75">
      <c r="A30" s="372" t="s">
        <v>794</v>
      </c>
      <c r="B30" s="373" t="s">
        <v>774</v>
      </c>
      <c r="C30" s="373" t="s">
        <v>1062</v>
      </c>
      <c r="D30" s="421">
        <v>59.69</v>
      </c>
      <c r="E30" s="270" t="s">
        <v>454</v>
      </c>
      <c r="F30" s="270">
        <f t="shared" si="0"/>
        <v>1200</v>
      </c>
      <c r="G30" s="296">
        <f t="shared" si="1"/>
        <v>4.9741666666666663E-2</v>
      </c>
      <c r="I30" s="309"/>
      <c r="J30" s="315"/>
      <c r="K30" s="311"/>
      <c r="L30" s="311"/>
      <c r="M30" s="311"/>
      <c r="O30" s="524"/>
      <c r="P30" s="21" t="s">
        <v>30</v>
      </c>
      <c r="Q30" s="266">
        <f>SUMIF(E4:E143,"Laboratórios",D4:D143)</f>
        <v>59.48</v>
      </c>
      <c r="R30" s="27">
        <v>450</v>
      </c>
      <c r="S30" s="437"/>
      <c r="T30" s="328">
        <f t="shared" si="5"/>
        <v>0.13217777777777778</v>
      </c>
    </row>
    <row r="31" spans="1:20" ht="12.75">
      <c r="A31" s="372" t="s">
        <v>794</v>
      </c>
      <c r="B31" s="373" t="s">
        <v>774</v>
      </c>
      <c r="C31" s="373" t="s">
        <v>1063</v>
      </c>
      <c r="D31" s="421">
        <v>16.100000000000001</v>
      </c>
      <c r="E31" s="270" t="s">
        <v>454</v>
      </c>
      <c r="F31" s="270">
        <f t="shared" si="0"/>
        <v>1200</v>
      </c>
      <c r="G31" s="296">
        <f t="shared" si="1"/>
        <v>1.3416666666666667E-2</v>
      </c>
      <c r="I31" s="309"/>
      <c r="J31" s="315"/>
      <c r="K31" s="311"/>
      <c r="L31" s="311"/>
      <c r="M31" s="311"/>
      <c r="O31" s="524"/>
      <c r="P31" s="21" t="s">
        <v>31</v>
      </c>
      <c r="Q31" s="266">
        <f>SUMIF(E4:E143,"Almoxarifados/galpões",D4:D143)</f>
        <v>90.4</v>
      </c>
      <c r="R31" s="22">
        <v>2500</v>
      </c>
      <c r="S31" s="437"/>
      <c r="T31" s="328">
        <f t="shared" si="5"/>
        <v>3.6160000000000005E-2</v>
      </c>
    </row>
    <row r="32" spans="1:20" ht="12.75">
      <c r="A32" s="372" t="s">
        <v>794</v>
      </c>
      <c r="B32" s="373" t="s">
        <v>774</v>
      </c>
      <c r="C32" s="373" t="s">
        <v>779</v>
      </c>
      <c r="D32" s="421">
        <v>3.51</v>
      </c>
      <c r="E32" s="270" t="s">
        <v>467</v>
      </c>
      <c r="F32" s="270">
        <f t="shared" si="0"/>
        <v>300</v>
      </c>
      <c r="G32" s="296">
        <f t="shared" si="1"/>
        <v>1.1699999999999999E-2</v>
      </c>
      <c r="I32" s="309"/>
      <c r="J32" s="315"/>
      <c r="K32" s="311"/>
      <c r="L32" s="311"/>
      <c r="M32" s="311"/>
      <c r="O32" s="524"/>
      <c r="P32" s="21" t="s">
        <v>32</v>
      </c>
      <c r="Q32" s="266">
        <f>SUMIF(E4:E143,"Oficinas",D4:D143)</f>
        <v>0</v>
      </c>
      <c r="R32" s="22">
        <v>1800</v>
      </c>
      <c r="S32" s="437"/>
      <c r="T32" s="328">
        <f t="shared" si="5"/>
        <v>0</v>
      </c>
    </row>
    <row r="33" spans="1:20" ht="12.75">
      <c r="A33" s="372" t="s">
        <v>794</v>
      </c>
      <c r="B33" s="373" t="s">
        <v>774</v>
      </c>
      <c r="C33" s="373" t="s">
        <v>781</v>
      </c>
      <c r="D33" s="421">
        <v>4.3899999999999997</v>
      </c>
      <c r="E33" s="270" t="s">
        <v>467</v>
      </c>
      <c r="F33" s="270">
        <f t="shared" si="0"/>
        <v>300</v>
      </c>
      <c r="G33" s="296">
        <f t="shared" si="1"/>
        <v>1.4633333333333332E-2</v>
      </c>
      <c r="I33" s="309"/>
      <c r="J33" s="315"/>
      <c r="K33" s="311"/>
      <c r="L33" s="311"/>
      <c r="M33" s="311"/>
      <c r="O33" s="524"/>
      <c r="P33" s="21" t="s">
        <v>33</v>
      </c>
      <c r="Q33" s="266">
        <f>SUMIF(E4:E143,"Áreas com espaços livres - saguão hall e salão",D4:D143)</f>
        <v>2496.0500000000002</v>
      </c>
      <c r="R33" s="22">
        <v>1500</v>
      </c>
      <c r="S33" s="437"/>
      <c r="T33" s="328">
        <f t="shared" si="5"/>
        <v>1.6640333333333335</v>
      </c>
    </row>
    <row r="34" spans="1:20" ht="12.75">
      <c r="A34" s="372" t="s">
        <v>794</v>
      </c>
      <c r="B34" s="373" t="s">
        <v>774</v>
      </c>
      <c r="C34" s="373" t="s">
        <v>777</v>
      </c>
      <c r="D34" s="421">
        <v>4.66</v>
      </c>
      <c r="E34" s="270" t="s">
        <v>467</v>
      </c>
      <c r="F34" s="270">
        <f t="shared" si="0"/>
        <v>300</v>
      </c>
      <c r="G34" s="296">
        <f t="shared" si="1"/>
        <v>1.5533333333333333E-2</v>
      </c>
      <c r="I34" s="309"/>
      <c r="J34" s="315"/>
      <c r="K34" s="311"/>
      <c r="L34" s="311"/>
      <c r="M34" s="311"/>
      <c r="O34" s="525"/>
      <c r="P34" s="21" t="s">
        <v>53</v>
      </c>
      <c r="Q34" s="266">
        <f>SUMIF(E4:E143,"Banheiros",D4:D143)</f>
        <v>326</v>
      </c>
      <c r="R34" s="27">
        <v>300</v>
      </c>
      <c r="S34" s="438"/>
      <c r="T34" s="328">
        <f t="shared" si="5"/>
        <v>1.0866666666666667</v>
      </c>
    </row>
    <row r="35" spans="1:20" ht="12.75">
      <c r="A35" s="372" t="s">
        <v>794</v>
      </c>
      <c r="B35" s="373" t="s">
        <v>774</v>
      </c>
      <c r="C35" s="373" t="s">
        <v>808</v>
      </c>
      <c r="D35" s="421">
        <v>59.48</v>
      </c>
      <c r="E35" s="270" t="s">
        <v>920</v>
      </c>
      <c r="F35" s="270">
        <f t="shared" si="0"/>
        <v>450</v>
      </c>
      <c r="G35" s="296">
        <f t="shared" si="1"/>
        <v>0.13217777777777778</v>
      </c>
      <c r="I35" s="309"/>
      <c r="J35" s="315"/>
      <c r="K35" s="311"/>
      <c r="L35" s="311"/>
      <c r="M35" s="311"/>
      <c r="O35" s="562" t="s">
        <v>36</v>
      </c>
      <c r="P35" s="21" t="s">
        <v>37</v>
      </c>
      <c r="Q35" s="24">
        <f>SUMIF(K4:K63,"Pisos pavimentados adjacentes/contíguos às edificações",J4:J63)</f>
        <v>294.52000000000004</v>
      </c>
      <c r="R35" s="22">
        <v>2700</v>
      </c>
      <c r="S35" s="598">
        <f>SUM(Q35:Q40)</f>
        <v>15997.89</v>
      </c>
      <c r="T35" s="328">
        <f t="shared" si="5"/>
        <v>0.1090814814814815</v>
      </c>
    </row>
    <row r="36" spans="1:20" ht="12.75">
      <c r="A36" s="372" t="s">
        <v>794</v>
      </c>
      <c r="B36" s="373" t="s">
        <v>774</v>
      </c>
      <c r="C36" s="373" t="s">
        <v>809</v>
      </c>
      <c r="D36" s="421">
        <v>16.09</v>
      </c>
      <c r="E36" s="270" t="s">
        <v>454</v>
      </c>
      <c r="F36" s="270">
        <f t="shared" si="0"/>
        <v>1200</v>
      </c>
      <c r="G36" s="296">
        <f t="shared" si="1"/>
        <v>1.3408333333333333E-2</v>
      </c>
      <c r="I36" s="309"/>
      <c r="J36" s="315"/>
      <c r="K36" s="311"/>
      <c r="L36" s="311"/>
      <c r="M36" s="311"/>
      <c r="O36" s="524"/>
      <c r="P36" s="21" t="s">
        <v>38</v>
      </c>
      <c r="Q36" s="24">
        <f>SUMIF(K4:K63,"Varrição de passeios e arruamentos",J4:J63)</f>
        <v>7775.75</v>
      </c>
      <c r="R36" s="22">
        <v>9000</v>
      </c>
      <c r="S36" s="437"/>
      <c r="T36" s="328">
        <f t="shared" si="5"/>
        <v>0.86397222222222225</v>
      </c>
    </row>
    <row r="37" spans="1:20" ht="12.75">
      <c r="A37" s="372" t="s">
        <v>794</v>
      </c>
      <c r="B37" s="373" t="s">
        <v>774</v>
      </c>
      <c r="C37" s="373" t="s">
        <v>810</v>
      </c>
      <c r="D37" s="421">
        <v>13.05</v>
      </c>
      <c r="E37" s="270" t="s">
        <v>454</v>
      </c>
      <c r="F37" s="270">
        <f t="shared" si="0"/>
        <v>1200</v>
      </c>
      <c r="G37" s="296">
        <f t="shared" si="1"/>
        <v>1.0875000000000001E-2</v>
      </c>
      <c r="I37" s="309"/>
      <c r="J37" s="315"/>
      <c r="K37" s="311"/>
      <c r="L37" s="311"/>
      <c r="M37" s="311"/>
      <c r="O37" s="524"/>
      <c r="P37" s="21" t="s">
        <v>39</v>
      </c>
      <c r="Q37" s="24">
        <f>SUMIF(K4:K63,"Pátios e áreas verdes com alta frequência",J4:J63)</f>
        <v>0</v>
      </c>
      <c r="R37" s="22">
        <v>2700</v>
      </c>
      <c r="S37" s="437"/>
      <c r="T37" s="328">
        <f t="shared" si="5"/>
        <v>0</v>
      </c>
    </row>
    <row r="38" spans="1:20" ht="12.75">
      <c r="A38" s="372" t="s">
        <v>794</v>
      </c>
      <c r="B38" s="373" t="s">
        <v>774</v>
      </c>
      <c r="C38" s="373" t="s">
        <v>1064</v>
      </c>
      <c r="D38" s="421">
        <v>45.29</v>
      </c>
      <c r="E38" s="270" t="s">
        <v>454</v>
      </c>
      <c r="F38" s="270">
        <f t="shared" si="0"/>
        <v>1200</v>
      </c>
      <c r="G38" s="296">
        <f t="shared" si="1"/>
        <v>3.7741666666666666E-2</v>
      </c>
      <c r="I38" s="309"/>
      <c r="J38" s="315"/>
      <c r="K38" s="311"/>
      <c r="L38" s="311"/>
      <c r="M38" s="311"/>
      <c r="O38" s="524"/>
      <c r="P38" s="21" t="s">
        <v>40</v>
      </c>
      <c r="Q38" s="24">
        <f>SUMIF(K4:K63,"Pátios e áreas verdes com média frequência",J4:J63)</f>
        <v>0</v>
      </c>
      <c r="R38" s="22">
        <v>2700</v>
      </c>
      <c r="S38" s="437"/>
      <c r="T38" s="328">
        <f t="shared" si="5"/>
        <v>0</v>
      </c>
    </row>
    <row r="39" spans="1:20" ht="12.75">
      <c r="A39" s="372" t="s">
        <v>794</v>
      </c>
      <c r="B39" s="373" t="s">
        <v>774</v>
      </c>
      <c r="C39" s="373" t="s">
        <v>812</v>
      </c>
      <c r="D39" s="421">
        <v>13</v>
      </c>
      <c r="E39" s="270" t="s">
        <v>454</v>
      </c>
      <c r="F39" s="270">
        <f t="shared" si="0"/>
        <v>1200</v>
      </c>
      <c r="G39" s="296">
        <f t="shared" si="1"/>
        <v>1.0833333333333334E-2</v>
      </c>
      <c r="I39" s="309"/>
      <c r="J39" s="315"/>
      <c r="K39" s="311"/>
      <c r="L39" s="311"/>
      <c r="M39" s="311"/>
      <c r="O39" s="524"/>
      <c r="P39" s="21" t="s">
        <v>41</v>
      </c>
      <c r="Q39" s="24">
        <f>SUMIF(K4:K63,"Pátios e áreas verdes com baixa frequência",J4:J63)</f>
        <v>0</v>
      </c>
      <c r="R39" s="22">
        <v>2700</v>
      </c>
      <c r="S39" s="437"/>
      <c r="T39" s="328">
        <f t="shared" si="5"/>
        <v>0</v>
      </c>
    </row>
    <row r="40" spans="1:20" ht="12.75">
      <c r="A40" s="372" t="s">
        <v>794</v>
      </c>
      <c r="B40" s="373" t="s">
        <v>774</v>
      </c>
      <c r="C40" s="373" t="s">
        <v>804</v>
      </c>
      <c r="D40" s="421">
        <v>59.48</v>
      </c>
      <c r="E40" s="270" t="s">
        <v>454</v>
      </c>
      <c r="F40" s="270">
        <f t="shared" si="0"/>
        <v>1200</v>
      </c>
      <c r="G40" s="296">
        <f t="shared" si="1"/>
        <v>4.9566666666666662E-2</v>
      </c>
      <c r="I40" s="309"/>
      <c r="J40" s="315"/>
      <c r="K40" s="311"/>
      <c r="L40" s="311"/>
      <c r="M40" s="311"/>
      <c r="O40" s="525"/>
      <c r="P40" s="21" t="s">
        <v>437</v>
      </c>
      <c r="Q40" s="24">
        <f>SUMIF(K4:K63,"coleta de detritos em pátios e áreas verdes com frequência diária",J4:J63)</f>
        <v>7927.62</v>
      </c>
      <c r="R40" s="22">
        <v>100000</v>
      </c>
      <c r="S40" s="438"/>
      <c r="T40" s="328">
        <f t="shared" si="5"/>
        <v>7.9276200000000005E-2</v>
      </c>
    </row>
    <row r="41" spans="1:20" ht="12.75">
      <c r="A41" s="372" t="s">
        <v>794</v>
      </c>
      <c r="B41" s="373" t="s">
        <v>774</v>
      </c>
      <c r="C41" s="373" t="s">
        <v>814</v>
      </c>
      <c r="D41" s="421">
        <v>11.96</v>
      </c>
      <c r="E41" s="270" t="s">
        <v>454</v>
      </c>
      <c r="F41" s="270">
        <f t="shared" si="0"/>
        <v>1200</v>
      </c>
      <c r="G41" s="296">
        <f t="shared" si="1"/>
        <v>9.9666666666666671E-3</v>
      </c>
      <c r="I41" s="309"/>
      <c r="J41" s="315"/>
      <c r="K41" s="311"/>
      <c r="L41" s="311"/>
      <c r="M41" s="311"/>
      <c r="O41" s="562" t="s">
        <v>43</v>
      </c>
      <c r="P41" s="21" t="s">
        <v>44</v>
      </c>
      <c r="Q41" s="24">
        <f>P14</f>
        <v>0</v>
      </c>
      <c r="R41" s="22">
        <v>160</v>
      </c>
      <c r="S41" s="598">
        <f>SUM(Q41:Q43)</f>
        <v>739.82</v>
      </c>
      <c r="T41" s="328">
        <f>T14</f>
        <v>0</v>
      </c>
    </row>
    <row r="42" spans="1:20" ht="12.75">
      <c r="A42" s="372" t="s">
        <v>794</v>
      </c>
      <c r="B42" s="373" t="s">
        <v>774</v>
      </c>
      <c r="C42" s="373" t="s">
        <v>815</v>
      </c>
      <c r="D42" s="421">
        <v>17.18</v>
      </c>
      <c r="E42" s="270" t="s">
        <v>454</v>
      </c>
      <c r="F42" s="270">
        <f t="shared" si="0"/>
        <v>1200</v>
      </c>
      <c r="G42" s="296">
        <f t="shared" si="1"/>
        <v>1.4316666666666667E-2</v>
      </c>
      <c r="I42" s="309"/>
      <c r="J42" s="315"/>
      <c r="K42" s="311"/>
      <c r="L42" s="311"/>
      <c r="M42" s="311"/>
      <c r="O42" s="524"/>
      <c r="P42" s="21" t="s">
        <v>45</v>
      </c>
      <c r="Q42" s="24">
        <f>P4</f>
        <v>369.91</v>
      </c>
      <c r="R42" s="22">
        <v>380</v>
      </c>
      <c r="S42" s="437"/>
      <c r="T42" s="328">
        <f>T4</f>
        <v>6.875842263260129E-3</v>
      </c>
    </row>
    <row r="43" spans="1:20" ht="12.75">
      <c r="A43" s="372" t="s">
        <v>794</v>
      </c>
      <c r="B43" s="373" t="s">
        <v>774</v>
      </c>
      <c r="C43" s="373" t="s">
        <v>816</v>
      </c>
      <c r="D43" s="421">
        <v>52.07</v>
      </c>
      <c r="E43" s="270" t="s">
        <v>454</v>
      </c>
      <c r="F43" s="270">
        <f t="shared" si="0"/>
        <v>1200</v>
      </c>
      <c r="G43" s="296">
        <f t="shared" si="1"/>
        <v>4.3391666666666669E-2</v>
      </c>
      <c r="I43" s="309"/>
      <c r="J43" s="315"/>
      <c r="K43" s="311"/>
      <c r="L43" s="311"/>
      <c r="M43" s="311"/>
      <c r="O43" s="525"/>
      <c r="P43" s="21" t="s">
        <v>46</v>
      </c>
      <c r="Q43" s="24">
        <f>P6</f>
        <v>369.91</v>
      </c>
      <c r="R43" s="22">
        <v>380</v>
      </c>
      <c r="S43" s="438"/>
      <c r="T43" s="328">
        <f>T6</f>
        <v>8.2513021269002132E-2</v>
      </c>
    </row>
    <row r="44" spans="1:20" ht="12.75">
      <c r="A44" s="372" t="s">
        <v>794</v>
      </c>
      <c r="B44" s="373" t="s">
        <v>774</v>
      </c>
      <c r="C44" s="373" t="s">
        <v>817</v>
      </c>
      <c r="D44" s="421">
        <v>7.69</v>
      </c>
      <c r="E44" s="270" t="s">
        <v>454</v>
      </c>
      <c r="F44" s="270">
        <f t="shared" si="0"/>
        <v>1200</v>
      </c>
      <c r="G44" s="296">
        <f t="shared" si="1"/>
        <v>6.4083333333333336E-3</v>
      </c>
      <c r="I44" s="309"/>
      <c r="J44" s="315"/>
      <c r="K44" s="311"/>
      <c r="L44" s="311"/>
      <c r="M44" s="311"/>
      <c r="O44" s="271" t="s">
        <v>47</v>
      </c>
      <c r="P44" s="21" t="s">
        <v>47</v>
      </c>
      <c r="Q44" s="24">
        <f>P13</f>
        <v>0</v>
      </c>
      <c r="R44" s="22">
        <v>160</v>
      </c>
      <c r="S44" s="332">
        <f t="shared" ref="S44:S45" si="6">Q44</f>
        <v>0</v>
      </c>
      <c r="T44" s="328">
        <f>T13</f>
        <v>0</v>
      </c>
    </row>
    <row r="45" spans="1:20" ht="12.75">
      <c r="A45" s="372" t="s">
        <v>794</v>
      </c>
      <c r="B45" s="373" t="s">
        <v>774</v>
      </c>
      <c r="C45" s="373" t="s">
        <v>818</v>
      </c>
      <c r="D45" s="421">
        <v>6.7</v>
      </c>
      <c r="E45" s="270" t="s">
        <v>454</v>
      </c>
      <c r="F45" s="270">
        <f t="shared" si="0"/>
        <v>1200</v>
      </c>
      <c r="G45" s="296">
        <f t="shared" si="1"/>
        <v>5.5833333333333334E-3</v>
      </c>
      <c r="I45" s="309"/>
      <c r="J45" s="315"/>
      <c r="K45" s="311"/>
      <c r="L45" s="311"/>
      <c r="M45" s="311"/>
      <c r="O45" s="271" t="s">
        <v>48</v>
      </c>
      <c r="P45" s="21" t="s">
        <v>48</v>
      </c>
      <c r="Q45" s="24">
        <f>P21</f>
        <v>0</v>
      </c>
      <c r="R45" s="22">
        <v>450</v>
      </c>
      <c r="S45" s="332">
        <f t="shared" si="6"/>
        <v>0</v>
      </c>
      <c r="T45" s="328">
        <f>Q45/R45</f>
        <v>0</v>
      </c>
    </row>
    <row r="46" spans="1:20" ht="12.75">
      <c r="A46" s="372" t="s">
        <v>794</v>
      </c>
      <c r="B46" s="373" t="s">
        <v>774</v>
      </c>
      <c r="C46" s="373" t="s">
        <v>779</v>
      </c>
      <c r="D46" s="421">
        <v>4.3499999999999996</v>
      </c>
      <c r="E46" s="270" t="s">
        <v>467</v>
      </c>
      <c r="F46" s="270">
        <f t="shared" si="0"/>
        <v>300</v>
      </c>
      <c r="G46" s="296">
        <f t="shared" si="1"/>
        <v>1.4499999999999999E-2</v>
      </c>
      <c r="I46" s="309"/>
      <c r="J46" s="315"/>
      <c r="K46" s="311"/>
      <c r="L46" s="311"/>
      <c r="M46" s="311"/>
      <c r="O46" s="564" t="s">
        <v>15</v>
      </c>
      <c r="P46" s="565"/>
      <c r="Q46" s="565"/>
      <c r="R46" s="566"/>
      <c r="S46" s="333">
        <f>SUM(S28:S45)</f>
        <v>23980.07</v>
      </c>
      <c r="T46" s="334">
        <f>SUM(T28:T45)-T41</f>
        <v>7.6194482116804103</v>
      </c>
    </row>
    <row r="47" spans="1:20" ht="12.75">
      <c r="A47" s="372" t="s">
        <v>794</v>
      </c>
      <c r="B47" s="373" t="s">
        <v>774</v>
      </c>
      <c r="C47" s="373" t="s">
        <v>781</v>
      </c>
      <c r="D47" s="421">
        <v>14.57</v>
      </c>
      <c r="E47" s="270" t="s">
        <v>467</v>
      </c>
      <c r="F47" s="270">
        <f t="shared" si="0"/>
        <v>300</v>
      </c>
      <c r="G47" s="296">
        <f t="shared" si="1"/>
        <v>4.8566666666666668E-2</v>
      </c>
      <c r="I47" s="309"/>
      <c r="J47" s="315"/>
      <c r="K47" s="311"/>
      <c r="L47" s="311"/>
      <c r="M47" s="311"/>
      <c r="O47" s="63"/>
      <c r="P47" s="68"/>
      <c r="Q47" s="69"/>
      <c r="R47" s="70"/>
      <c r="S47" s="276"/>
      <c r="T47" s="65"/>
    </row>
    <row r="48" spans="1:20">
      <c r="A48" s="372" t="s">
        <v>794</v>
      </c>
      <c r="B48" s="373" t="s">
        <v>774</v>
      </c>
      <c r="C48" s="373" t="s">
        <v>777</v>
      </c>
      <c r="D48" s="421">
        <v>14.57</v>
      </c>
      <c r="E48" s="270" t="s">
        <v>467</v>
      </c>
      <c r="F48" s="270">
        <f t="shared" si="0"/>
        <v>300</v>
      </c>
      <c r="G48" s="296">
        <f t="shared" si="1"/>
        <v>4.8566666666666668E-2</v>
      </c>
      <c r="I48" s="309"/>
      <c r="J48" s="315"/>
      <c r="K48" s="311"/>
      <c r="L48" s="311"/>
      <c r="M48" s="311"/>
      <c r="O48" s="63" t="s">
        <v>612</v>
      </c>
      <c r="P48" s="364">
        <f>D70+D76+D78+D79+D80</f>
        <v>79.67</v>
      </c>
      <c r="Q48" s="65"/>
      <c r="R48" s="278"/>
      <c r="S48" s="278" t="s">
        <v>49</v>
      </c>
      <c r="T48" s="279">
        <f>ROUND(T46,0)</f>
        <v>8</v>
      </c>
    </row>
    <row r="49" spans="1:20">
      <c r="A49" s="372" t="s">
        <v>794</v>
      </c>
      <c r="B49" s="373" t="s">
        <v>790</v>
      </c>
      <c r="C49" s="373" t="s">
        <v>819</v>
      </c>
      <c r="D49" s="421">
        <v>59.69</v>
      </c>
      <c r="E49" s="270" t="s">
        <v>454</v>
      </c>
      <c r="F49" s="270">
        <f t="shared" si="0"/>
        <v>1200</v>
      </c>
      <c r="G49" s="296">
        <f t="shared" si="1"/>
        <v>4.9741666666666663E-2</v>
      </c>
      <c r="I49" s="309"/>
      <c r="J49" s="315"/>
      <c r="K49" s="311"/>
      <c r="L49" s="311"/>
      <c r="M49" s="311"/>
      <c r="O49" s="63"/>
      <c r="P49" s="64"/>
      <c r="Q49" s="65"/>
      <c r="R49" s="278"/>
      <c r="S49" s="278" t="s">
        <v>516</v>
      </c>
      <c r="T49" s="279">
        <f>T41+T44</f>
        <v>0</v>
      </c>
    </row>
    <row r="50" spans="1:20" ht="12.75">
      <c r="A50" s="372" t="s">
        <v>794</v>
      </c>
      <c r="B50" s="373" t="s">
        <v>790</v>
      </c>
      <c r="C50" s="373" t="s">
        <v>820</v>
      </c>
      <c r="D50" s="421">
        <v>59.7</v>
      </c>
      <c r="E50" s="270" t="s">
        <v>454</v>
      </c>
      <c r="F50" s="270">
        <f t="shared" si="0"/>
        <v>1200</v>
      </c>
      <c r="G50" s="296">
        <f t="shared" si="1"/>
        <v>4.9750000000000003E-2</v>
      </c>
      <c r="I50" s="309"/>
      <c r="J50" s="315"/>
      <c r="K50" s="311"/>
      <c r="L50" s="575"/>
      <c r="M50" s="461"/>
      <c r="N50" s="461"/>
      <c r="O50" s="461"/>
      <c r="P50" s="461"/>
      <c r="Q50" s="461"/>
      <c r="R50" s="461"/>
      <c r="S50" s="461"/>
      <c r="T50" s="461"/>
    </row>
    <row r="51" spans="1:20" ht="12.75">
      <c r="A51" s="372" t="s">
        <v>794</v>
      </c>
      <c r="B51" s="373" t="s">
        <v>790</v>
      </c>
      <c r="C51" s="373" t="s">
        <v>821</v>
      </c>
      <c r="D51" s="421">
        <v>59.69</v>
      </c>
      <c r="E51" s="270" t="s">
        <v>454</v>
      </c>
      <c r="F51" s="270">
        <f t="shared" si="0"/>
        <v>1200</v>
      </c>
      <c r="G51" s="296">
        <f t="shared" si="1"/>
        <v>4.9741666666666663E-2</v>
      </c>
      <c r="I51" s="309"/>
      <c r="J51" s="315"/>
      <c r="K51" s="311"/>
      <c r="L51" s="460"/>
      <c r="M51" s="460"/>
      <c r="N51" s="578"/>
      <c r="O51" s="460"/>
      <c r="P51" s="578"/>
      <c r="Q51" s="578"/>
      <c r="R51" s="461"/>
      <c r="S51" s="460"/>
      <c r="T51" s="461"/>
    </row>
    <row r="52" spans="1:20" ht="12.75">
      <c r="A52" s="372" t="s">
        <v>794</v>
      </c>
      <c r="B52" s="373" t="s">
        <v>790</v>
      </c>
      <c r="C52" s="373" t="s">
        <v>822</v>
      </c>
      <c r="D52" s="421">
        <v>59.7</v>
      </c>
      <c r="E52" s="270" t="s">
        <v>454</v>
      </c>
      <c r="F52" s="270">
        <f t="shared" si="0"/>
        <v>1200</v>
      </c>
      <c r="G52" s="296">
        <f t="shared" si="1"/>
        <v>4.9750000000000003E-2</v>
      </c>
      <c r="I52" s="309"/>
      <c r="J52" s="315"/>
      <c r="K52" s="311"/>
      <c r="L52" s="461"/>
      <c r="M52" s="461"/>
      <c r="N52" s="461"/>
      <c r="O52" s="461"/>
      <c r="P52" s="461"/>
      <c r="Q52" s="460"/>
      <c r="R52" s="578"/>
      <c r="S52" s="460"/>
      <c r="T52" s="578"/>
    </row>
    <row r="53" spans="1:20" ht="12.75">
      <c r="A53" s="372" t="s">
        <v>794</v>
      </c>
      <c r="B53" s="373" t="s">
        <v>790</v>
      </c>
      <c r="C53" s="373" t="s">
        <v>823</v>
      </c>
      <c r="D53" s="421">
        <v>59.6</v>
      </c>
      <c r="E53" s="270" t="s">
        <v>454</v>
      </c>
      <c r="F53" s="270">
        <f t="shared" si="0"/>
        <v>1200</v>
      </c>
      <c r="G53" s="296">
        <f t="shared" si="1"/>
        <v>4.9666666666666665E-2</v>
      </c>
      <c r="I53" s="309"/>
      <c r="J53" s="315"/>
      <c r="K53" s="311"/>
      <c r="L53" s="461"/>
      <c r="M53" s="461"/>
      <c r="N53" s="461"/>
      <c r="O53" s="461"/>
      <c r="P53" s="461"/>
      <c r="Q53" s="461"/>
      <c r="R53" s="461"/>
      <c r="S53" s="461"/>
      <c r="T53" s="461"/>
    </row>
    <row r="54" spans="1:20" ht="12.75">
      <c r="A54" s="372" t="s">
        <v>794</v>
      </c>
      <c r="B54" s="373" t="s">
        <v>790</v>
      </c>
      <c r="C54" s="373" t="s">
        <v>824</v>
      </c>
      <c r="D54" s="421">
        <v>60.61</v>
      </c>
      <c r="E54" s="270" t="s">
        <v>454</v>
      </c>
      <c r="F54" s="270">
        <f t="shared" si="0"/>
        <v>1200</v>
      </c>
      <c r="G54" s="296">
        <f t="shared" si="1"/>
        <v>5.0508333333333336E-2</v>
      </c>
      <c r="I54" s="309"/>
      <c r="J54" s="315"/>
      <c r="K54" s="311"/>
      <c r="L54" s="460"/>
      <c r="M54" s="384"/>
      <c r="N54" s="385"/>
      <c r="O54" s="386"/>
      <c r="P54" s="387"/>
      <c r="Q54" s="387"/>
      <c r="R54" s="387"/>
      <c r="S54" s="387"/>
      <c r="T54" s="387"/>
    </row>
    <row r="55" spans="1:20" ht="12.75">
      <c r="A55" s="372" t="s">
        <v>794</v>
      </c>
      <c r="B55" s="373" t="s">
        <v>790</v>
      </c>
      <c r="C55" s="373" t="s">
        <v>825</v>
      </c>
      <c r="D55" s="421">
        <v>59.01</v>
      </c>
      <c r="E55" s="270" t="s">
        <v>454</v>
      </c>
      <c r="F55" s="270">
        <f t="shared" si="0"/>
        <v>1200</v>
      </c>
      <c r="G55" s="296">
        <f t="shared" si="1"/>
        <v>4.9174999999999996E-2</v>
      </c>
      <c r="I55" s="309"/>
      <c r="J55" s="315"/>
      <c r="K55" s="311"/>
      <c r="L55" s="461"/>
      <c r="M55" s="384"/>
      <c r="N55" s="385"/>
      <c r="O55" s="386"/>
      <c r="P55" s="387"/>
      <c r="Q55" s="387"/>
      <c r="R55" s="387"/>
      <c r="S55" s="387"/>
      <c r="T55" s="387"/>
    </row>
    <row r="56" spans="1:20" ht="12.75">
      <c r="A56" s="372" t="s">
        <v>794</v>
      </c>
      <c r="B56" s="373" t="s">
        <v>790</v>
      </c>
      <c r="C56" s="373" t="s">
        <v>826</v>
      </c>
      <c r="D56" s="421">
        <v>44.53</v>
      </c>
      <c r="E56" s="270" t="s">
        <v>454</v>
      </c>
      <c r="F56" s="270">
        <f t="shared" si="0"/>
        <v>1200</v>
      </c>
      <c r="G56" s="296">
        <f t="shared" si="1"/>
        <v>3.7108333333333333E-2</v>
      </c>
      <c r="I56" s="309"/>
      <c r="J56" s="315"/>
      <c r="K56" s="311"/>
      <c r="L56" s="461"/>
      <c r="M56" s="384"/>
      <c r="N56" s="389"/>
      <c r="O56" s="386"/>
      <c r="P56" s="387"/>
      <c r="Q56" s="387"/>
      <c r="R56" s="387"/>
      <c r="S56" s="387"/>
      <c r="T56" s="387"/>
    </row>
    <row r="57" spans="1:20" ht="12.75">
      <c r="A57" s="372" t="s">
        <v>794</v>
      </c>
      <c r="B57" s="373" t="s">
        <v>790</v>
      </c>
      <c r="C57" s="373" t="s">
        <v>827</v>
      </c>
      <c r="D57" s="421">
        <v>43.34</v>
      </c>
      <c r="E57" s="270" t="s">
        <v>454</v>
      </c>
      <c r="F57" s="270">
        <f t="shared" si="0"/>
        <v>1200</v>
      </c>
      <c r="G57" s="296">
        <f t="shared" si="1"/>
        <v>3.6116666666666672E-2</v>
      </c>
      <c r="I57" s="309"/>
      <c r="J57" s="315"/>
      <c r="K57" s="311"/>
      <c r="L57" s="461"/>
      <c r="M57" s="384"/>
      <c r="N57" s="385"/>
      <c r="O57" s="386"/>
      <c r="P57" s="387"/>
      <c r="Q57" s="387"/>
      <c r="R57" s="387"/>
      <c r="S57" s="387"/>
      <c r="T57" s="387"/>
    </row>
    <row r="58" spans="1:20" ht="12.75">
      <c r="A58" s="372" t="s">
        <v>794</v>
      </c>
      <c r="B58" s="373" t="s">
        <v>790</v>
      </c>
      <c r="C58" s="373" t="s">
        <v>828</v>
      </c>
      <c r="D58" s="421">
        <v>44.67</v>
      </c>
      <c r="E58" s="270" t="s">
        <v>454</v>
      </c>
      <c r="F58" s="270">
        <f t="shared" si="0"/>
        <v>1200</v>
      </c>
      <c r="G58" s="296">
        <f t="shared" si="1"/>
        <v>3.7225000000000001E-2</v>
      </c>
      <c r="I58" s="309"/>
      <c r="J58" s="315"/>
      <c r="K58" s="311"/>
      <c r="L58" s="461"/>
      <c r="M58" s="384"/>
      <c r="N58" s="385"/>
      <c r="O58" s="386"/>
      <c r="P58" s="387"/>
      <c r="Q58" s="387"/>
      <c r="R58" s="387"/>
      <c r="S58" s="387"/>
      <c r="T58" s="387"/>
    </row>
    <row r="59" spans="1:20" ht="12.75">
      <c r="A59" s="372" t="s">
        <v>794</v>
      </c>
      <c r="B59" s="373" t="s">
        <v>790</v>
      </c>
      <c r="C59" s="373" t="s">
        <v>829</v>
      </c>
      <c r="D59" s="421">
        <v>44.53</v>
      </c>
      <c r="E59" s="270" t="s">
        <v>454</v>
      </c>
      <c r="F59" s="270">
        <f t="shared" si="0"/>
        <v>1200</v>
      </c>
      <c r="G59" s="296">
        <f t="shared" si="1"/>
        <v>3.7108333333333333E-2</v>
      </c>
      <c r="I59" s="309"/>
      <c r="J59" s="315"/>
      <c r="K59" s="311"/>
      <c r="L59" s="461"/>
      <c r="M59" s="384"/>
      <c r="N59" s="385"/>
      <c r="O59" s="386"/>
      <c r="P59" s="387"/>
      <c r="Q59" s="387"/>
      <c r="R59" s="387"/>
      <c r="S59" s="387"/>
      <c r="T59" s="387"/>
    </row>
    <row r="60" spans="1:20" ht="12.75">
      <c r="A60" s="372" t="s">
        <v>794</v>
      </c>
      <c r="B60" s="373" t="s">
        <v>790</v>
      </c>
      <c r="C60" s="373" t="s">
        <v>830</v>
      </c>
      <c r="D60" s="421">
        <v>46.68</v>
      </c>
      <c r="E60" s="270" t="s">
        <v>454</v>
      </c>
      <c r="F60" s="270">
        <f t="shared" si="0"/>
        <v>1200</v>
      </c>
      <c r="G60" s="296">
        <f t="shared" si="1"/>
        <v>3.8899999999999997E-2</v>
      </c>
      <c r="I60" s="309"/>
      <c r="J60" s="315"/>
      <c r="K60" s="311"/>
      <c r="L60" s="461"/>
      <c r="M60" s="384"/>
      <c r="N60" s="389"/>
      <c r="O60" s="386"/>
      <c r="P60" s="387"/>
      <c r="Q60" s="387"/>
      <c r="R60" s="387"/>
      <c r="S60" s="387"/>
      <c r="T60" s="387"/>
    </row>
    <row r="61" spans="1:20" ht="12.75">
      <c r="A61" s="372" t="s">
        <v>794</v>
      </c>
      <c r="B61" s="373" t="s">
        <v>790</v>
      </c>
      <c r="C61" s="373" t="s">
        <v>831</v>
      </c>
      <c r="D61" s="421">
        <v>59.7</v>
      </c>
      <c r="E61" s="270" t="s">
        <v>454</v>
      </c>
      <c r="F61" s="270">
        <f t="shared" si="0"/>
        <v>1200</v>
      </c>
      <c r="G61" s="296">
        <f t="shared" si="1"/>
        <v>4.9750000000000003E-2</v>
      </c>
      <c r="I61" s="309"/>
      <c r="J61" s="315"/>
      <c r="K61" s="311"/>
      <c r="L61" s="460"/>
      <c r="M61" s="384"/>
      <c r="N61" s="385"/>
      <c r="O61" s="386"/>
      <c r="P61" s="387"/>
      <c r="Q61" s="387"/>
      <c r="R61" s="387"/>
      <c r="S61" s="387"/>
      <c r="T61" s="387"/>
    </row>
    <row r="62" spans="1:20" ht="12.75">
      <c r="A62" s="372" t="s">
        <v>794</v>
      </c>
      <c r="B62" s="373" t="s">
        <v>774</v>
      </c>
      <c r="C62" s="373" t="s">
        <v>783</v>
      </c>
      <c r="D62" s="421">
        <v>11.99</v>
      </c>
      <c r="E62" s="270" t="s">
        <v>454</v>
      </c>
      <c r="F62" s="270">
        <f t="shared" si="0"/>
        <v>1200</v>
      </c>
      <c r="G62" s="296">
        <f t="shared" si="1"/>
        <v>9.9916666666666661E-3</v>
      </c>
      <c r="I62" s="309"/>
      <c r="J62" s="315"/>
      <c r="K62" s="310"/>
      <c r="L62" s="461"/>
      <c r="M62" s="384"/>
      <c r="N62" s="385"/>
      <c r="O62" s="386"/>
      <c r="P62" s="387"/>
      <c r="Q62" s="387"/>
      <c r="R62" s="387"/>
      <c r="S62" s="387"/>
      <c r="T62" s="387"/>
    </row>
    <row r="63" spans="1:20" ht="12.75">
      <c r="A63" s="372" t="s">
        <v>794</v>
      </c>
      <c r="B63" s="373" t="s">
        <v>774</v>
      </c>
      <c r="C63" s="373" t="s">
        <v>779</v>
      </c>
      <c r="D63" s="421">
        <v>4.08</v>
      </c>
      <c r="E63" s="270" t="s">
        <v>467</v>
      </c>
      <c r="F63" s="270">
        <f t="shared" si="0"/>
        <v>300</v>
      </c>
      <c r="G63" s="296">
        <f t="shared" si="1"/>
        <v>1.3600000000000001E-2</v>
      </c>
      <c r="I63" s="309"/>
      <c r="J63" s="315"/>
      <c r="K63" s="311"/>
      <c r="L63" s="461"/>
      <c r="M63" s="384"/>
      <c r="N63" s="385"/>
      <c r="O63" s="386"/>
      <c r="P63" s="387"/>
      <c r="Q63" s="387"/>
      <c r="R63" s="387"/>
      <c r="S63" s="387"/>
      <c r="T63" s="387"/>
    </row>
    <row r="64" spans="1:20" ht="12.75">
      <c r="A64" s="372" t="s">
        <v>794</v>
      </c>
      <c r="B64" s="373" t="s">
        <v>774</v>
      </c>
      <c r="C64" s="373" t="s">
        <v>777</v>
      </c>
      <c r="D64" s="421">
        <v>22.95</v>
      </c>
      <c r="E64" s="270" t="s">
        <v>467</v>
      </c>
      <c r="F64" s="270">
        <f t="shared" si="0"/>
        <v>300</v>
      </c>
      <c r="G64" s="296">
        <f t="shared" si="1"/>
        <v>7.6499999999999999E-2</v>
      </c>
      <c r="I64" s="336"/>
      <c r="J64" s="337"/>
      <c r="K64" s="337"/>
      <c r="L64" s="461"/>
      <c r="M64" s="384"/>
      <c r="N64" s="385"/>
      <c r="O64" s="386"/>
      <c r="P64" s="387"/>
      <c r="Q64" s="387"/>
      <c r="R64" s="387"/>
      <c r="S64" s="387"/>
      <c r="T64" s="387"/>
    </row>
    <row r="65" spans="1:20" ht="12.75">
      <c r="A65" s="372" t="s">
        <v>794</v>
      </c>
      <c r="B65" s="373" t="s">
        <v>774</v>
      </c>
      <c r="C65" s="373" t="s">
        <v>781</v>
      </c>
      <c r="D65" s="421">
        <v>22.95</v>
      </c>
      <c r="E65" s="270" t="s">
        <v>467</v>
      </c>
      <c r="F65" s="270">
        <f t="shared" si="0"/>
        <v>300</v>
      </c>
      <c r="G65" s="296">
        <f t="shared" si="1"/>
        <v>7.6499999999999999E-2</v>
      </c>
      <c r="L65" s="461"/>
      <c r="M65" s="384"/>
      <c r="N65" s="385"/>
      <c r="O65" s="386"/>
      <c r="P65" s="387"/>
      <c r="Q65" s="387"/>
      <c r="R65" s="387"/>
      <c r="S65" s="387"/>
      <c r="T65" s="387"/>
    </row>
    <row r="66" spans="1:20" ht="12.75">
      <c r="A66" s="372" t="s">
        <v>794</v>
      </c>
      <c r="B66" s="373" t="s">
        <v>774</v>
      </c>
      <c r="C66" s="373" t="s">
        <v>655</v>
      </c>
      <c r="D66" s="421">
        <v>228.34</v>
      </c>
      <c r="E66" s="270" t="s">
        <v>573</v>
      </c>
      <c r="F66" s="270">
        <f t="shared" si="0"/>
        <v>1500</v>
      </c>
      <c r="G66" s="296">
        <f t="shared" si="1"/>
        <v>0.15222666666666668</v>
      </c>
      <c r="L66" s="461"/>
      <c r="M66" s="384"/>
      <c r="N66" s="385"/>
      <c r="O66" s="386"/>
      <c r="P66" s="387"/>
      <c r="Q66" s="387"/>
      <c r="R66" s="387"/>
      <c r="S66" s="387"/>
      <c r="T66" s="387"/>
    </row>
    <row r="67" spans="1:20" ht="12.75">
      <c r="A67" s="372" t="s">
        <v>794</v>
      </c>
      <c r="B67" s="373" t="s">
        <v>774</v>
      </c>
      <c r="C67" s="373" t="s">
        <v>1065</v>
      </c>
      <c r="D67" s="421">
        <v>132.02000000000001</v>
      </c>
      <c r="E67" s="270" t="s">
        <v>454</v>
      </c>
      <c r="F67" s="270">
        <f t="shared" si="0"/>
        <v>1200</v>
      </c>
      <c r="G67" s="296">
        <f t="shared" si="1"/>
        <v>0.11001666666666668</v>
      </c>
      <c r="L67" s="460"/>
      <c r="M67" s="384"/>
      <c r="N67" s="385"/>
      <c r="O67" s="386"/>
      <c r="P67" s="387"/>
      <c r="Q67" s="387"/>
      <c r="R67" s="387"/>
      <c r="S67" s="387"/>
      <c r="T67" s="387"/>
    </row>
    <row r="68" spans="1:20" ht="12.75">
      <c r="A68" s="372" t="s">
        <v>832</v>
      </c>
      <c r="B68" s="373" t="s">
        <v>774</v>
      </c>
      <c r="C68" s="373" t="s">
        <v>637</v>
      </c>
      <c r="D68" s="421">
        <v>9.41</v>
      </c>
      <c r="E68" s="270" t="s">
        <v>454</v>
      </c>
      <c r="F68" s="270">
        <f t="shared" si="0"/>
        <v>1200</v>
      </c>
      <c r="G68" s="296">
        <f t="shared" si="1"/>
        <v>7.8416666666666669E-3</v>
      </c>
      <c r="L68" s="461"/>
      <c r="M68" s="384"/>
      <c r="N68" s="385"/>
      <c r="O68" s="386"/>
      <c r="P68" s="387"/>
      <c r="Q68" s="387"/>
      <c r="R68" s="387"/>
      <c r="S68" s="387"/>
      <c r="T68" s="387"/>
    </row>
    <row r="69" spans="1:20" ht="12.75">
      <c r="A69" s="372" t="s">
        <v>832</v>
      </c>
      <c r="B69" s="373" t="s">
        <v>774</v>
      </c>
      <c r="C69" s="373" t="s">
        <v>832</v>
      </c>
      <c r="D69" s="421">
        <v>9.52</v>
      </c>
      <c r="E69" s="270" t="s">
        <v>454</v>
      </c>
      <c r="F69" s="270">
        <f t="shared" si="0"/>
        <v>1200</v>
      </c>
      <c r="G69" s="296">
        <f t="shared" si="1"/>
        <v>7.9333333333333322E-3</v>
      </c>
      <c r="L69" s="461"/>
      <c r="M69" s="384"/>
      <c r="N69" s="385"/>
      <c r="O69" s="386"/>
      <c r="P69" s="387"/>
      <c r="Q69" s="387"/>
      <c r="R69" s="387"/>
      <c r="S69" s="387"/>
      <c r="T69" s="387"/>
    </row>
    <row r="70" spans="1:20" ht="12.75">
      <c r="A70" s="372" t="s">
        <v>832</v>
      </c>
      <c r="B70" s="373" t="s">
        <v>774</v>
      </c>
      <c r="C70" s="373" t="s">
        <v>833</v>
      </c>
      <c r="D70" s="421">
        <v>17.3</v>
      </c>
      <c r="E70" s="270"/>
      <c r="F70" s="270">
        <f t="shared" si="0"/>
        <v>0</v>
      </c>
      <c r="G70" s="371">
        <v>0</v>
      </c>
      <c r="L70" s="12"/>
      <c r="M70" s="384"/>
      <c r="N70" s="385"/>
      <c r="O70" s="386"/>
      <c r="P70" s="387"/>
      <c r="Q70" s="387"/>
      <c r="R70" s="387"/>
      <c r="S70" s="387"/>
      <c r="T70" s="387"/>
    </row>
    <row r="71" spans="1:20" ht="12.75">
      <c r="A71" s="372" t="s">
        <v>832</v>
      </c>
      <c r="B71" s="373" t="s">
        <v>774</v>
      </c>
      <c r="C71" s="373" t="s">
        <v>834</v>
      </c>
      <c r="D71" s="421">
        <v>239.04</v>
      </c>
      <c r="E71" s="270" t="s">
        <v>454</v>
      </c>
      <c r="F71" s="270">
        <f t="shared" si="0"/>
        <v>1200</v>
      </c>
      <c r="G71" s="296">
        <f t="shared" ref="G71:G75" si="7">D71/F71</f>
        <v>0.19919999999999999</v>
      </c>
      <c r="L71" s="13"/>
      <c r="M71" s="384"/>
      <c r="N71" s="385"/>
      <c r="O71" s="386"/>
      <c r="P71" s="387"/>
      <c r="Q71" s="387"/>
      <c r="R71" s="387"/>
      <c r="S71" s="387"/>
      <c r="T71" s="387"/>
    </row>
    <row r="72" spans="1:20" ht="12.75">
      <c r="A72" s="372" t="s">
        <v>832</v>
      </c>
      <c r="B72" s="373" t="s">
        <v>774</v>
      </c>
      <c r="C72" s="373" t="s">
        <v>835</v>
      </c>
      <c r="D72" s="421">
        <v>19.09</v>
      </c>
      <c r="E72" s="270" t="s">
        <v>467</v>
      </c>
      <c r="F72" s="270">
        <f t="shared" si="0"/>
        <v>300</v>
      </c>
      <c r="G72" s="296">
        <f t="shared" si="7"/>
        <v>6.3633333333333333E-2</v>
      </c>
      <c r="L72" s="460"/>
      <c r="M72" s="461"/>
      <c r="N72" s="461"/>
      <c r="O72" s="338"/>
      <c r="P72" s="12"/>
      <c r="Q72" s="338"/>
      <c r="R72" s="12"/>
      <c r="S72" s="338"/>
      <c r="T72" s="12"/>
    </row>
    <row r="73" spans="1:20" ht="12.75">
      <c r="A73" s="372" t="s">
        <v>832</v>
      </c>
      <c r="B73" s="373" t="s">
        <v>774</v>
      </c>
      <c r="C73" s="373" t="s">
        <v>836</v>
      </c>
      <c r="D73" s="421">
        <v>19.100000000000001</v>
      </c>
      <c r="E73" s="270" t="s">
        <v>467</v>
      </c>
      <c r="F73" s="270">
        <f t="shared" si="0"/>
        <v>300</v>
      </c>
      <c r="G73" s="296">
        <f t="shared" si="7"/>
        <v>6.3666666666666677E-2</v>
      </c>
      <c r="L73" s="460"/>
      <c r="M73" s="461"/>
      <c r="N73" s="461"/>
      <c r="O73" s="461"/>
      <c r="P73" s="461"/>
      <c r="Q73" s="461"/>
      <c r="R73" s="72"/>
      <c r="S73" s="339"/>
      <c r="T73" s="72"/>
    </row>
    <row r="74" spans="1:20" ht="12.75">
      <c r="A74" s="372" t="s">
        <v>832</v>
      </c>
      <c r="B74" s="373" t="s">
        <v>774</v>
      </c>
      <c r="C74" s="373" t="s">
        <v>837</v>
      </c>
      <c r="D74" s="421">
        <v>16.100000000000001</v>
      </c>
      <c r="E74" s="270" t="s">
        <v>454</v>
      </c>
      <c r="F74" s="270">
        <f t="shared" si="0"/>
        <v>1200</v>
      </c>
      <c r="G74" s="296">
        <f t="shared" si="7"/>
        <v>1.3416666666666667E-2</v>
      </c>
      <c r="L74" s="406"/>
      <c r="M74" s="406"/>
      <c r="N74" s="406"/>
      <c r="O74" s="406"/>
      <c r="P74" s="406"/>
      <c r="Q74" s="406"/>
      <c r="R74" s="406"/>
      <c r="S74" s="406"/>
      <c r="T74" s="406"/>
    </row>
    <row r="75" spans="1:20" ht="12.75">
      <c r="A75" s="372" t="s">
        <v>832</v>
      </c>
      <c r="B75" s="373" t="s">
        <v>774</v>
      </c>
      <c r="C75" s="373" t="s">
        <v>838</v>
      </c>
      <c r="D75" s="421">
        <v>8.07</v>
      </c>
      <c r="E75" s="270" t="s">
        <v>454</v>
      </c>
      <c r="F75" s="270">
        <f t="shared" si="0"/>
        <v>1200</v>
      </c>
      <c r="G75" s="296">
        <f t="shared" si="7"/>
        <v>6.7250000000000001E-3</v>
      </c>
    </row>
    <row r="76" spans="1:20" ht="12.75">
      <c r="A76" s="372" t="s">
        <v>832</v>
      </c>
      <c r="B76" s="373" t="s">
        <v>774</v>
      </c>
      <c r="C76" s="373" t="s">
        <v>1066</v>
      </c>
      <c r="D76" s="421">
        <v>43.59</v>
      </c>
      <c r="E76" s="270"/>
      <c r="F76" s="270">
        <f t="shared" si="0"/>
        <v>0</v>
      </c>
      <c r="G76" s="371">
        <v>0</v>
      </c>
    </row>
    <row r="77" spans="1:20" ht="12.75">
      <c r="A77" s="372" t="s">
        <v>832</v>
      </c>
      <c r="B77" s="373" t="s">
        <v>774</v>
      </c>
      <c r="C77" s="373" t="s">
        <v>488</v>
      </c>
      <c r="D77" s="421">
        <v>36.86</v>
      </c>
      <c r="E77" s="270" t="s">
        <v>489</v>
      </c>
      <c r="F77" s="270">
        <f t="shared" si="0"/>
        <v>2500</v>
      </c>
      <c r="G77" s="296">
        <f>D77/F77</f>
        <v>1.4744E-2</v>
      </c>
    </row>
    <row r="78" spans="1:20" ht="12.75">
      <c r="A78" s="372" t="s">
        <v>832</v>
      </c>
      <c r="B78" s="373" t="s">
        <v>774</v>
      </c>
      <c r="C78" s="373" t="s">
        <v>1067</v>
      </c>
      <c r="D78" s="421">
        <v>10.55</v>
      </c>
      <c r="E78" s="270"/>
      <c r="F78" s="270">
        <f t="shared" si="0"/>
        <v>0</v>
      </c>
      <c r="G78" s="371">
        <v>0</v>
      </c>
    </row>
    <row r="79" spans="1:20" ht="12.75">
      <c r="A79" s="372" t="s">
        <v>832</v>
      </c>
      <c r="B79" s="373" t="s">
        <v>774</v>
      </c>
      <c r="C79" s="373" t="s">
        <v>1068</v>
      </c>
      <c r="D79" s="421">
        <v>3.51</v>
      </c>
      <c r="E79" s="270"/>
      <c r="F79" s="270">
        <f t="shared" si="0"/>
        <v>0</v>
      </c>
      <c r="G79" s="371">
        <v>0</v>
      </c>
    </row>
    <row r="80" spans="1:20" ht="25.5">
      <c r="A80" s="372" t="s">
        <v>832</v>
      </c>
      <c r="B80" s="373" t="s">
        <v>774</v>
      </c>
      <c r="C80" s="373" t="s">
        <v>1069</v>
      </c>
      <c r="D80" s="421">
        <v>4.72</v>
      </c>
      <c r="E80" s="270"/>
      <c r="F80" s="270">
        <f t="shared" si="0"/>
        <v>0</v>
      </c>
      <c r="G80" s="371">
        <v>0</v>
      </c>
    </row>
    <row r="81" spans="1:7" ht="12.75">
      <c r="A81" s="372" t="s">
        <v>832</v>
      </c>
      <c r="B81" s="373" t="s">
        <v>774</v>
      </c>
      <c r="C81" s="373" t="s">
        <v>783</v>
      </c>
      <c r="D81" s="421">
        <v>8.1</v>
      </c>
      <c r="E81" s="270" t="s">
        <v>454</v>
      </c>
      <c r="F81" s="270">
        <f t="shared" si="0"/>
        <v>1200</v>
      </c>
      <c r="G81" s="296">
        <f t="shared" ref="G81:G143" si="8">D81/F81</f>
        <v>6.7499999999999999E-3</v>
      </c>
    </row>
    <row r="82" spans="1:7" ht="12.75">
      <c r="A82" s="372" t="s">
        <v>832</v>
      </c>
      <c r="B82" s="373" t="s">
        <v>774</v>
      </c>
      <c r="C82" s="373" t="s">
        <v>840</v>
      </c>
      <c r="D82" s="421">
        <v>16.37</v>
      </c>
      <c r="E82" s="270" t="s">
        <v>454</v>
      </c>
      <c r="F82" s="270">
        <f t="shared" si="0"/>
        <v>1200</v>
      </c>
      <c r="G82" s="296">
        <f t="shared" si="8"/>
        <v>1.3641666666666668E-2</v>
      </c>
    </row>
    <row r="83" spans="1:7" ht="12.75">
      <c r="A83" s="372" t="s">
        <v>832</v>
      </c>
      <c r="B83" s="373" t="s">
        <v>774</v>
      </c>
      <c r="C83" s="373" t="s">
        <v>845</v>
      </c>
      <c r="D83" s="421">
        <v>7.81</v>
      </c>
      <c r="E83" s="270" t="s">
        <v>454</v>
      </c>
      <c r="F83" s="270">
        <f t="shared" si="0"/>
        <v>1200</v>
      </c>
      <c r="G83" s="296">
        <f t="shared" si="8"/>
        <v>6.508333333333333E-3</v>
      </c>
    </row>
    <row r="84" spans="1:7" ht="12.75">
      <c r="A84" s="372" t="s">
        <v>832</v>
      </c>
      <c r="B84" s="373" t="s">
        <v>774</v>
      </c>
      <c r="C84" s="373" t="s">
        <v>846</v>
      </c>
      <c r="D84" s="421">
        <v>4.09</v>
      </c>
      <c r="E84" s="270" t="s">
        <v>573</v>
      </c>
      <c r="F84" s="270">
        <f t="shared" si="0"/>
        <v>1500</v>
      </c>
      <c r="G84" s="296">
        <f t="shared" si="8"/>
        <v>2.7266666666666667E-3</v>
      </c>
    </row>
    <row r="85" spans="1:7" ht="12.75">
      <c r="A85" s="372" t="s">
        <v>832</v>
      </c>
      <c r="B85" s="373" t="s">
        <v>774</v>
      </c>
      <c r="C85" s="373" t="s">
        <v>847</v>
      </c>
      <c r="D85" s="421">
        <v>7.54</v>
      </c>
      <c r="E85" s="270" t="s">
        <v>573</v>
      </c>
      <c r="F85" s="270">
        <f t="shared" si="0"/>
        <v>1500</v>
      </c>
      <c r="G85" s="296">
        <f t="shared" si="8"/>
        <v>5.0266666666666663E-3</v>
      </c>
    </row>
    <row r="86" spans="1:7" ht="12.75">
      <c r="A86" s="372" t="s">
        <v>764</v>
      </c>
      <c r="B86" s="373" t="s">
        <v>790</v>
      </c>
      <c r="C86" s="373" t="s">
        <v>848</v>
      </c>
      <c r="D86" s="421">
        <v>12.24</v>
      </c>
      <c r="E86" s="270" t="s">
        <v>454</v>
      </c>
      <c r="F86" s="270">
        <f t="shared" si="0"/>
        <v>1200</v>
      </c>
      <c r="G86" s="296">
        <f t="shared" si="8"/>
        <v>1.0200000000000001E-2</v>
      </c>
    </row>
    <row r="87" spans="1:7" ht="12.75">
      <c r="A87" s="372" t="s">
        <v>764</v>
      </c>
      <c r="B87" s="373" t="s">
        <v>774</v>
      </c>
      <c r="C87" s="373" t="s">
        <v>849</v>
      </c>
      <c r="D87" s="421">
        <v>43.54</v>
      </c>
      <c r="E87" s="270" t="s">
        <v>467</v>
      </c>
      <c r="F87" s="270">
        <f t="shared" si="0"/>
        <v>300</v>
      </c>
      <c r="G87" s="296">
        <f t="shared" si="8"/>
        <v>0.14513333333333334</v>
      </c>
    </row>
    <row r="88" spans="1:7" ht="12.75">
      <c r="A88" s="372" t="s">
        <v>764</v>
      </c>
      <c r="B88" s="373" t="s">
        <v>774</v>
      </c>
      <c r="C88" s="373" t="s">
        <v>850</v>
      </c>
      <c r="D88" s="421">
        <v>43.43</v>
      </c>
      <c r="E88" s="270" t="s">
        <v>467</v>
      </c>
      <c r="F88" s="270">
        <f t="shared" si="0"/>
        <v>300</v>
      </c>
      <c r="G88" s="296">
        <f t="shared" si="8"/>
        <v>0.14476666666666665</v>
      </c>
    </row>
    <row r="89" spans="1:7" ht="12.75">
      <c r="A89" s="372" t="s">
        <v>764</v>
      </c>
      <c r="B89" s="373" t="s">
        <v>774</v>
      </c>
      <c r="C89" s="373" t="s">
        <v>851</v>
      </c>
      <c r="D89" s="421">
        <v>10.36</v>
      </c>
      <c r="E89" s="270" t="s">
        <v>467</v>
      </c>
      <c r="F89" s="270">
        <f t="shared" si="0"/>
        <v>300</v>
      </c>
      <c r="G89" s="296">
        <f t="shared" si="8"/>
        <v>3.4533333333333333E-2</v>
      </c>
    </row>
    <row r="90" spans="1:7" ht="12.75">
      <c r="A90" s="372" t="s">
        <v>764</v>
      </c>
      <c r="B90" s="373" t="s">
        <v>790</v>
      </c>
      <c r="C90" s="373" t="s">
        <v>852</v>
      </c>
      <c r="D90" s="421">
        <v>121.13</v>
      </c>
      <c r="E90" s="270" t="s">
        <v>454</v>
      </c>
      <c r="F90" s="270">
        <f t="shared" si="0"/>
        <v>1200</v>
      </c>
      <c r="G90" s="296">
        <f t="shared" si="8"/>
        <v>0.10094166666666667</v>
      </c>
    </row>
    <row r="91" spans="1:7" ht="12.75">
      <c r="A91" s="372" t="s">
        <v>764</v>
      </c>
      <c r="B91" s="373" t="s">
        <v>774</v>
      </c>
      <c r="C91" s="373" t="s">
        <v>1070</v>
      </c>
      <c r="D91" s="421">
        <v>7.88</v>
      </c>
      <c r="E91" s="270" t="s">
        <v>454</v>
      </c>
      <c r="F91" s="270">
        <f t="shared" si="0"/>
        <v>1200</v>
      </c>
      <c r="G91" s="296">
        <f t="shared" si="8"/>
        <v>6.5666666666666668E-3</v>
      </c>
    </row>
    <row r="92" spans="1:7" ht="12.75">
      <c r="A92" s="372" t="s">
        <v>764</v>
      </c>
      <c r="B92" s="373" t="s">
        <v>774</v>
      </c>
      <c r="C92" s="373" t="s">
        <v>854</v>
      </c>
      <c r="D92" s="421">
        <v>859.22</v>
      </c>
      <c r="E92" s="270" t="s">
        <v>454</v>
      </c>
      <c r="F92" s="270">
        <f t="shared" si="0"/>
        <v>1200</v>
      </c>
      <c r="G92" s="296">
        <f t="shared" si="8"/>
        <v>0.71601666666666663</v>
      </c>
    </row>
    <row r="93" spans="1:7" ht="12.75">
      <c r="A93" s="372" t="s">
        <v>764</v>
      </c>
      <c r="B93" s="373" t="s">
        <v>774</v>
      </c>
      <c r="C93" s="373" t="s">
        <v>855</v>
      </c>
      <c r="D93" s="421">
        <v>8.34</v>
      </c>
      <c r="E93" s="270" t="s">
        <v>573</v>
      </c>
      <c r="F93" s="270">
        <f t="shared" si="0"/>
        <v>1500</v>
      </c>
      <c r="G93" s="296">
        <f t="shared" si="8"/>
        <v>5.5599999999999998E-3</v>
      </c>
    </row>
    <row r="94" spans="1:7" ht="12.75">
      <c r="A94" s="372" t="s">
        <v>856</v>
      </c>
      <c r="B94" s="373" t="s">
        <v>774</v>
      </c>
      <c r="C94" s="373" t="s">
        <v>857</v>
      </c>
      <c r="D94" s="421">
        <v>81.150000000000006</v>
      </c>
      <c r="E94" s="270" t="s">
        <v>454</v>
      </c>
      <c r="F94" s="270">
        <f t="shared" si="0"/>
        <v>1200</v>
      </c>
      <c r="G94" s="296">
        <f t="shared" si="8"/>
        <v>6.7625000000000005E-2</v>
      </c>
    </row>
    <row r="95" spans="1:7" ht="12.75">
      <c r="A95" s="372" t="s">
        <v>856</v>
      </c>
      <c r="B95" s="373" t="s">
        <v>774</v>
      </c>
      <c r="C95" s="373" t="s">
        <v>858</v>
      </c>
      <c r="D95" s="421">
        <v>57.08</v>
      </c>
      <c r="E95" s="270" t="s">
        <v>454</v>
      </c>
      <c r="F95" s="270">
        <f t="shared" si="0"/>
        <v>1200</v>
      </c>
      <c r="G95" s="296">
        <f t="shared" si="8"/>
        <v>4.7566666666666667E-2</v>
      </c>
    </row>
    <row r="96" spans="1:7" ht="12.75">
      <c r="A96" s="372" t="s">
        <v>856</v>
      </c>
      <c r="B96" s="373" t="s">
        <v>774</v>
      </c>
      <c r="C96" s="373" t="s">
        <v>859</v>
      </c>
      <c r="D96" s="421">
        <v>82.29</v>
      </c>
      <c r="E96" s="270" t="s">
        <v>454</v>
      </c>
      <c r="F96" s="270">
        <f t="shared" si="0"/>
        <v>1200</v>
      </c>
      <c r="G96" s="296">
        <f t="shared" si="8"/>
        <v>6.8575000000000011E-2</v>
      </c>
    </row>
    <row r="97" spans="1:7" ht="12.75">
      <c r="A97" s="372" t="s">
        <v>856</v>
      </c>
      <c r="B97" s="373" t="s">
        <v>774</v>
      </c>
      <c r="C97" s="373" t="s">
        <v>860</v>
      </c>
      <c r="D97" s="421">
        <v>56.22</v>
      </c>
      <c r="E97" s="270" t="s">
        <v>454</v>
      </c>
      <c r="F97" s="270">
        <f t="shared" si="0"/>
        <v>1200</v>
      </c>
      <c r="G97" s="296">
        <f t="shared" si="8"/>
        <v>4.6849999999999996E-2</v>
      </c>
    </row>
    <row r="98" spans="1:7" ht="12.75">
      <c r="A98" s="372" t="s">
        <v>856</v>
      </c>
      <c r="B98" s="373" t="s">
        <v>774</v>
      </c>
      <c r="C98" s="373" t="s">
        <v>861</v>
      </c>
      <c r="D98" s="421">
        <v>62.46</v>
      </c>
      <c r="E98" s="270" t="s">
        <v>454</v>
      </c>
      <c r="F98" s="270">
        <f t="shared" si="0"/>
        <v>1200</v>
      </c>
      <c r="G98" s="296">
        <f t="shared" si="8"/>
        <v>5.2049999999999999E-2</v>
      </c>
    </row>
    <row r="99" spans="1:7" ht="12.75">
      <c r="A99" s="372" t="s">
        <v>856</v>
      </c>
      <c r="B99" s="373" t="s">
        <v>774</v>
      </c>
      <c r="C99" s="373" t="s">
        <v>862</v>
      </c>
      <c r="D99" s="421">
        <v>60.65</v>
      </c>
      <c r="E99" s="270" t="s">
        <v>454</v>
      </c>
      <c r="F99" s="270">
        <f t="shared" si="0"/>
        <v>1200</v>
      </c>
      <c r="G99" s="296">
        <f t="shared" si="8"/>
        <v>5.0541666666666665E-2</v>
      </c>
    </row>
    <row r="100" spans="1:7" ht="12.75">
      <c r="A100" s="372" t="s">
        <v>856</v>
      </c>
      <c r="B100" s="373" t="s">
        <v>774</v>
      </c>
      <c r="C100" s="373" t="s">
        <v>863</v>
      </c>
      <c r="D100" s="421">
        <v>66.3</v>
      </c>
      <c r="E100" s="270" t="s">
        <v>454</v>
      </c>
      <c r="F100" s="270">
        <f t="shared" si="0"/>
        <v>1200</v>
      </c>
      <c r="G100" s="296">
        <f t="shared" si="8"/>
        <v>5.525E-2</v>
      </c>
    </row>
    <row r="101" spans="1:7" ht="12.75">
      <c r="A101" s="372" t="s">
        <v>856</v>
      </c>
      <c r="B101" s="373" t="s">
        <v>774</v>
      </c>
      <c r="C101" s="373" t="s">
        <v>1071</v>
      </c>
      <c r="D101" s="421">
        <v>66.3</v>
      </c>
      <c r="E101" s="270" t="s">
        <v>454</v>
      </c>
      <c r="F101" s="270">
        <f t="shared" si="0"/>
        <v>1200</v>
      </c>
      <c r="G101" s="296">
        <f t="shared" si="8"/>
        <v>5.525E-2</v>
      </c>
    </row>
    <row r="102" spans="1:7" ht="12.75">
      <c r="A102" s="372" t="s">
        <v>856</v>
      </c>
      <c r="B102" s="373" t="s">
        <v>774</v>
      </c>
      <c r="C102" s="373" t="s">
        <v>866</v>
      </c>
      <c r="D102" s="421">
        <v>9.5500000000000007</v>
      </c>
      <c r="E102" s="270" t="s">
        <v>454</v>
      </c>
      <c r="F102" s="270">
        <f t="shared" si="0"/>
        <v>1200</v>
      </c>
      <c r="G102" s="296">
        <f t="shared" si="8"/>
        <v>7.9583333333333346E-3</v>
      </c>
    </row>
    <row r="103" spans="1:7" ht="12.75">
      <c r="A103" s="372" t="s">
        <v>856</v>
      </c>
      <c r="B103" s="373" t="s">
        <v>774</v>
      </c>
      <c r="C103" s="373" t="s">
        <v>867</v>
      </c>
      <c r="D103" s="421">
        <v>9.5500000000000007</v>
      </c>
      <c r="E103" s="270" t="s">
        <v>454</v>
      </c>
      <c r="F103" s="270">
        <f t="shared" si="0"/>
        <v>1200</v>
      </c>
      <c r="G103" s="296">
        <f t="shared" si="8"/>
        <v>7.9583333333333346E-3</v>
      </c>
    </row>
    <row r="104" spans="1:7" ht="12.75">
      <c r="A104" s="372" t="s">
        <v>856</v>
      </c>
      <c r="B104" s="373" t="s">
        <v>774</v>
      </c>
      <c r="C104" s="373" t="s">
        <v>1072</v>
      </c>
      <c r="D104" s="421">
        <v>13.46</v>
      </c>
      <c r="E104" s="270" t="s">
        <v>454</v>
      </c>
      <c r="F104" s="270">
        <f t="shared" si="0"/>
        <v>1200</v>
      </c>
      <c r="G104" s="296">
        <f t="shared" si="8"/>
        <v>1.1216666666666668E-2</v>
      </c>
    </row>
    <row r="105" spans="1:7" ht="12.75">
      <c r="A105" s="372" t="s">
        <v>856</v>
      </c>
      <c r="B105" s="373" t="s">
        <v>774</v>
      </c>
      <c r="C105" s="373" t="s">
        <v>1073</v>
      </c>
      <c r="D105" s="421">
        <v>13.46</v>
      </c>
      <c r="E105" s="270" t="s">
        <v>454</v>
      </c>
      <c r="F105" s="270">
        <f t="shared" si="0"/>
        <v>1200</v>
      </c>
      <c r="G105" s="296">
        <f t="shared" si="8"/>
        <v>1.1216666666666668E-2</v>
      </c>
    </row>
    <row r="106" spans="1:7" ht="12.75">
      <c r="A106" s="372" t="s">
        <v>856</v>
      </c>
      <c r="B106" s="373" t="s">
        <v>774</v>
      </c>
      <c r="C106" s="373" t="s">
        <v>1074</v>
      </c>
      <c r="D106" s="421">
        <v>27.54</v>
      </c>
      <c r="E106" s="270" t="s">
        <v>454</v>
      </c>
      <c r="F106" s="270">
        <f t="shared" si="0"/>
        <v>1200</v>
      </c>
      <c r="G106" s="296">
        <f t="shared" si="8"/>
        <v>2.2949999999999998E-2</v>
      </c>
    </row>
    <row r="107" spans="1:7" ht="12.75">
      <c r="A107" s="372" t="s">
        <v>856</v>
      </c>
      <c r="B107" s="373" t="s">
        <v>774</v>
      </c>
      <c r="C107" s="373" t="s">
        <v>1075</v>
      </c>
      <c r="D107" s="421">
        <v>13.87</v>
      </c>
      <c r="E107" s="270" t="s">
        <v>454</v>
      </c>
      <c r="F107" s="270">
        <f t="shared" si="0"/>
        <v>1200</v>
      </c>
      <c r="G107" s="296">
        <f t="shared" si="8"/>
        <v>1.1558333333333332E-2</v>
      </c>
    </row>
    <row r="108" spans="1:7" ht="12.75">
      <c r="A108" s="372" t="s">
        <v>856</v>
      </c>
      <c r="B108" s="373" t="s">
        <v>774</v>
      </c>
      <c r="C108" s="373" t="s">
        <v>1076</v>
      </c>
      <c r="D108" s="421">
        <v>31.54</v>
      </c>
      <c r="E108" s="270" t="s">
        <v>454</v>
      </c>
      <c r="F108" s="270">
        <f t="shared" si="0"/>
        <v>1200</v>
      </c>
      <c r="G108" s="296">
        <f t="shared" si="8"/>
        <v>2.6283333333333332E-2</v>
      </c>
    </row>
    <row r="109" spans="1:7" ht="12.75">
      <c r="A109" s="372" t="s">
        <v>856</v>
      </c>
      <c r="B109" s="373" t="s">
        <v>774</v>
      </c>
      <c r="C109" s="373" t="s">
        <v>779</v>
      </c>
      <c r="D109" s="421">
        <v>4.1900000000000004</v>
      </c>
      <c r="E109" s="270" t="s">
        <v>467</v>
      </c>
      <c r="F109" s="270">
        <f t="shared" si="0"/>
        <v>300</v>
      </c>
      <c r="G109" s="296">
        <f t="shared" si="8"/>
        <v>1.3966666666666667E-2</v>
      </c>
    </row>
    <row r="110" spans="1:7" ht="12.75">
      <c r="A110" s="372" t="s">
        <v>856</v>
      </c>
      <c r="B110" s="373" t="s">
        <v>774</v>
      </c>
      <c r="C110" s="373" t="s">
        <v>781</v>
      </c>
      <c r="D110" s="421">
        <v>14.85</v>
      </c>
      <c r="E110" s="270" t="s">
        <v>467</v>
      </c>
      <c r="F110" s="270">
        <f t="shared" si="0"/>
        <v>300</v>
      </c>
      <c r="G110" s="296">
        <f t="shared" si="8"/>
        <v>4.9499999999999995E-2</v>
      </c>
    </row>
    <row r="111" spans="1:7" ht="12.75">
      <c r="A111" s="372" t="s">
        <v>856</v>
      </c>
      <c r="B111" s="373" t="s">
        <v>774</v>
      </c>
      <c r="C111" s="373" t="s">
        <v>777</v>
      </c>
      <c r="D111" s="421">
        <v>14.85</v>
      </c>
      <c r="E111" s="270" t="s">
        <v>467</v>
      </c>
      <c r="F111" s="270">
        <f t="shared" si="0"/>
        <v>300</v>
      </c>
      <c r="G111" s="296">
        <f t="shared" si="8"/>
        <v>4.9499999999999995E-2</v>
      </c>
    </row>
    <row r="112" spans="1:7" ht="12.75">
      <c r="A112" s="372" t="s">
        <v>856</v>
      </c>
      <c r="B112" s="373" t="s">
        <v>774</v>
      </c>
      <c r="C112" s="373" t="s">
        <v>868</v>
      </c>
      <c r="D112" s="421">
        <v>4.1900000000000004</v>
      </c>
      <c r="E112" s="270" t="s">
        <v>454</v>
      </c>
      <c r="F112" s="270">
        <f t="shared" si="0"/>
        <v>1200</v>
      </c>
      <c r="G112" s="296">
        <f t="shared" si="8"/>
        <v>3.4916666666666668E-3</v>
      </c>
    </row>
    <row r="113" spans="1:7" ht="12.75">
      <c r="A113" s="372" t="s">
        <v>856</v>
      </c>
      <c r="B113" s="373" t="s">
        <v>774</v>
      </c>
      <c r="C113" s="373" t="s">
        <v>855</v>
      </c>
      <c r="D113" s="421">
        <v>6.64</v>
      </c>
      <c r="E113" s="270" t="s">
        <v>573</v>
      </c>
      <c r="F113" s="270">
        <f t="shared" si="0"/>
        <v>1500</v>
      </c>
      <c r="G113" s="296">
        <f t="shared" si="8"/>
        <v>4.4266666666666664E-3</v>
      </c>
    </row>
    <row r="114" spans="1:7" ht="12.75">
      <c r="A114" s="372" t="s">
        <v>856</v>
      </c>
      <c r="B114" s="373" t="s">
        <v>774</v>
      </c>
      <c r="C114" s="373" t="s">
        <v>655</v>
      </c>
      <c r="D114" s="421">
        <v>59</v>
      </c>
      <c r="E114" s="270" t="s">
        <v>573</v>
      </c>
      <c r="F114" s="270">
        <f t="shared" si="0"/>
        <v>1500</v>
      </c>
      <c r="G114" s="296">
        <f t="shared" si="8"/>
        <v>3.9333333333333331E-2</v>
      </c>
    </row>
    <row r="115" spans="1:7" ht="12.75">
      <c r="A115" s="372" t="s">
        <v>856</v>
      </c>
      <c r="B115" s="373" t="s">
        <v>774</v>
      </c>
      <c r="C115" s="373" t="s">
        <v>869</v>
      </c>
      <c r="D115" s="421">
        <v>128.44999999999999</v>
      </c>
      <c r="E115" s="270" t="s">
        <v>573</v>
      </c>
      <c r="F115" s="270">
        <f t="shared" si="0"/>
        <v>1500</v>
      </c>
      <c r="G115" s="296">
        <f t="shared" si="8"/>
        <v>8.5633333333333325E-2</v>
      </c>
    </row>
    <row r="116" spans="1:7" ht="12.75">
      <c r="A116" s="372" t="s">
        <v>856</v>
      </c>
      <c r="B116" s="373" t="s">
        <v>774</v>
      </c>
      <c r="C116" s="373" t="s">
        <v>1077</v>
      </c>
      <c r="D116" s="421">
        <v>88.26</v>
      </c>
      <c r="E116" s="270" t="s">
        <v>573</v>
      </c>
      <c r="F116" s="270">
        <f t="shared" si="0"/>
        <v>1500</v>
      </c>
      <c r="G116" s="296">
        <f t="shared" si="8"/>
        <v>5.8840000000000003E-2</v>
      </c>
    </row>
    <row r="117" spans="1:7" ht="12.75">
      <c r="A117" s="372" t="s">
        <v>870</v>
      </c>
      <c r="B117" s="373" t="s">
        <v>774</v>
      </c>
      <c r="C117" s="373" t="s">
        <v>870</v>
      </c>
      <c r="D117" s="421">
        <v>3.76</v>
      </c>
      <c r="E117" s="270" t="s">
        <v>454</v>
      </c>
      <c r="F117" s="270">
        <f t="shared" si="0"/>
        <v>1200</v>
      </c>
      <c r="G117" s="296">
        <f t="shared" si="8"/>
        <v>3.133333333333333E-3</v>
      </c>
    </row>
    <row r="118" spans="1:7" ht="12.75">
      <c r="A118" s="372" t="s">
        <v>870</v>
      </c>
      <c r="B118" s="373" t="s">
        <v>774</v>
      </c>
      <c r="C118" s="373" t="s">
        <v>871</v>
      </c>
      <c r="D118" s="421">
        <v>2.64</v>
      </c>
      <c r="E118" s="270" t="s">
        <v>467</v>
      </c>
      <c r="F118" s="270">
        <f t="shared" si="0"/>
        <v>300</v>
      </c>
      <c r="G118" s="296">
        <f t="shared" si="8"/>
        <v>8.8000000000000005E-3</v>
      </c>
    </row>
    <row r="119" spans="1:7" ht="12.75">
      <c r="A119" s="372" t="s">
        <v>870</v>
      </c>
      <c r="B119" s="373" t="s">
        <v>774</v>
      </c>
      <c r="C119" s="373" t="s">
        <v>783</v>
      </c>
      <c r="D119" s="421">
        <v>4.4000000000000004</v>
      </c>
      <c r="E119" s="270" t="s">
        <v>454</v>
      </c>
      <c r="F119" s="270">
        <f t="shared" si="0"/>
        <v>1200</v>
      </c>
      <c r="G119" s="296">
        <f t="shared" si="8"/>
        <v>3.666666666666667E-3</v>
      </c>
    </row>
    <row r="120" spans="1:7" ht="12.75">
      <c r="A120" s="372" t="s">
        <v>1078</v>
      </c>
      <c r="B120" s="373" t="s">
        <v>774</v>
      </c>
      <c r="C120" s="373" t="s">
        <v>819</v>
      </c>
      <c r="D120" s="421">
        <v>47.45</v>
      </c>
      <c r="E120" s="270" t="s">
        <v>454</v>
      </c>
      <c r="F120" s="270">
        <f t="shared" si="0"/>
        <v>1200</v>
      </c>
      <c r="G120" s="296">
        <f t="shared" si="8"/>
        <v>3.9541666666666669E-2</v>
      </c>
    </row>
    <row r="121" spans="1:7" ht="12.75">
      <c r="A121" s="372" t="s">
        <v>1078</v>
      </c>
      <c r="B121" s="373" t="s">
        <v>774</v>
      </c>
      <c r="C121" s="373" t="s">
        <v>820</v>
      </c>
      <c r="D121" s="421">
        <v>41</v>
      </c>
      <c r="E121" s="270" t="s">
        <v>454</v>
      </c>
      <c r="F121" s="270">
        <f t="shared" si="0"/>
        <v>1200</v>
      </c>
      <c r="G121" s="296">
        <f t="shared" si="8"/>
        <v>3.4166666666666665E-2</v>
      </c>
    </row>
    <row r="122" spans="1:7" ht="12.75">
      <c r="A122" s="372" t="s">
        <v>1078</v>
      </c>
      <c r="B122" s="373" t="s">
        <v>774</v>
      </c>
      <c r="C122" s="373" t="s">
        <v>1079</v>
      </c>
      <c r="D122" s="421">
        <v>20.34</v>
      </c>
      <c r="E122" s="270" t="s">
        <v>467</v>
      </c>
      <c r="F122" s="270">
        <f t="shared" si="0"/>
        <v>300</v>
      </c>
      <c r="G122" s="296">
        <f t="shared" si="8"/>
        <v>6.7799999999999999E-2</v>
      </c>
    </row>
    <row r="123" spans="1:7" ht="12.75">
      <c r="A123" s="372" t="s">
        <v>1078</v>
      </c>
      <c r="B123" s="373" t="s">
        <v>774</v>
      </c>
      <c r="C123" s="373" t="s">
        <v>1080</v>
      </c>
      <c r="D123" s="421">
        <v>19.440000000000001</v>
      </c>
      <c r="E123" s="270" t="s">
        <v>467</v>
      </c>
      <c r="F123" s="270">
        <f t="shared" si="0"/>
        <v>300</v>
      </c>
      <c r="G123" s="296">
        <f t="shared" si="8"/>
        <v>6.480000000000001E-2</v>
      </c>
    </row>
    <row r="124" spans="1:7" ht="12.75">
      <c r="A124" s="372" t="s">
        <v>1078</v>
      </c>
      <c r="B124" s="373" t="s">
        <v>774</v>
      </c>
      <c r="C124" s="373" t="s">
        <v>674</v>
      </c>
      <c r="D124" s="421">
        <v>52.27</v>
      </c>
      <c r="E124" s="270" t="s">
        <v>454</v>
      </c>
      <c r="F124" s="270">
        <f t="shared" si="0"/>
        <v>1200</v>
      </c>
      <c r="G124" s="296">
        <f t="shared" si="8"/>
        <v>4.3558333333333338E-2</v>
      </c>
    </row>
    <row r="125" spans="1:7" ht="12.75">
      <c r="A125" s="372" t="s">
        <v>1078</v>
      </c>
      <c r="B125" s="373" t="s">
        <v>774</v>
      </c>
      <c r="C125" s="373" t="s">
        <v>558</v>
      </c>
      <c r="D125" s="421">
        <v>2.91</v>
      </c>
      <c r="E125" s="270" t="s">
        <v>454</v>
      </c>
      <c r="F125" s="270">
        <f t="shared" si="0"/>
        <v>1200</v>
      </c>
      <c r="G125" s="296">
        <f t="shared" si="8"/>
        <v>2.4250000000000001E-3</v>
      </c>
    </row>
    <row r="126" spans="1:7" ht="12.75">
      <c r="A126" s="372" t="s">
        <v>1078</v>
      </c>
      <c r="B126" s="373" t="s">
        <v>774</v>
      </c>
      <c r="C126" s="373" t="s">
        <v>1081</v>
      </c>
      <c r="D126" s="421">
        <v>5.08</v>
      </c>
      <c r="E126" s="270" t="s">
        <v>454</v>
      </c>
      <c r="F126" s="270">
        <f t="shared" si="0"/>
        <v>1200</v>
      </c>
      <c r="G126" s="296">
        <f t="shared" si="8"/>
        <v>4.2333333333333337E-3</v>
      </c>
    </row>
    <row r="127" spans="1:7" ht="12.75">
      <c r="A127" s="372" t="s">
        <v>1078</v>
      </c>
      <c r="B127" s="373" t="s">
        <v>774</v>
      </c>
      <c r="C127" s="373" t="s">
        <v>1082</v>
      </c>
      <c r="D127" s="421">
        <v>5.08</v>
      </c>
      <c r="E127" s="270" t="s">
        <v>454</v>
      </c>
      <c r="F127" s="270">
        <f t="shared" si="0"/>
        <v>1200</v>
      </c>
      <c r="G127" s="296">
        <f t="shared" si="8"/>
        <v>4.2333333333333337E-3</v>
      </c>
    </row>
    <row r="128" spans="1:7" ht="12.75">
      <c r="A128" s="372" t="s">
        <v>1078</v>
      </c>
      <c r="B128" s="373" t="s">
        <v>774</v>
      </c>
      <c r="C128" s="373" t="s">
        <v>674</v>
      </c>
      <c r="D128" s="421">
        <v>14.17</v>
      </c>
      <c r="E128" s="270" t="s">
        <v>454</v>
      </c>
      <c r="F128" s="270">
        <f t="shared" si="0"/>
        <v>1200</v>
      </c>
      <c r="G128" s="296">
        <f t="shared" si="8"/>
        <v>1.1808333333333334E-2</v>
      </c>
    </row>
    <row r="129" spans="1:7" ht="12.75">
      <c r="A129" s="372" t="s">
        <v>1078</v>
      </c>
      <c r="B129" s="373" t="s">
        <v>774</v>
      </c>
      <c r="C129" s="373" t="s">
        <v>1083</v>
      </c>
      <c r="D129" s="421">
        <v>9.8800000000000008</v>
      </c>
      <c r="E129" s="270" t="s">
        <v>454</v>
      </c>
      <c r="F129" s="270">
        <f t="shared" si="0"/>
        <v>1200</v>
      </c>
      <c r="G129" s="296">
        <f t="shared" si="8"/>
        <v>8.2333333333333338E-3</v>
      </c>
    </row>
    <row r="130" spans="1:7" ht="12.75">
      <c r="A130" s="372" t="s">
        <v>1078</v>
      </c>
      <c r="B130" s="373" t="s">
        <v>774</v>
      </c>
      <c r="C130" s="373" t="s">
        <v>1084</v>
      </c>
      <c r="D130" s="421">
        <v>8.9</v>
      </c>
      <c r="E130" s="270" t="s">
        <v>454</v>
      </c>
      <c r="F130" s="270">
        <f t="shared" si="0"/>
        <v>1200</v>
      </c>
      <c r="G130" s="296">
        <f t="shared" si="8"/>
        <v>7.4166666666666669E-3</v>
      </c>
    </row>
    <row r="131" spans="1:7" ht="12.75">
      <c r="A131" s="372" t="s">
        <v>1078</v>
      </c>
      <c r="B131" s="373" t="s">
        <v>774</v>
      </c>
      <c r="C131" s="373" t="s">
        <v>1084</v>
      </c>
      <c r="D131" s="421">
        <v>6.04</v>
      </c>
      <c r="E131" s="270" t="s">
        <v>454</v>
      </c>
      <c r="F131" s="270">
        <f t="shared" si="0"/>
        <v>1200</v>
      </c>
      <c r="G131" s="296">
        <f t="shared" si="8"/>
        <v>5.0333333333333332E-3</v>
      </c>
    </row>
    <row r="132" spans="1:7" ht="12.75">
      <c r="A132" s="372" t="s">
        <v>1078</v>
      </c>
      <c r="B132" s="373" t="s">
        <v>774</v>
      </c>
      <c r="C132" s="373" t="s">
        <v>766</v>
      </c>
      <c r="D132" s="421">
        <v>45.07</v>
      </c>
      <c r="E132" s="270" t="s">
        <v>454</v>
      </c>
      <c r="F132" s="270">
        <f t="shared" si="0"/>
        <v>1200</v>
      </c>
      <c r="G132" s="296">
        <f t="shared" si="8"/>
        <v>3.7558333333333332E-2</v>
      </c>
    </row>
    <row r="133" spans="1:7" ht="12.75">
      <c r="A133" s="372" t="s">
        <v>1078</v>
      </c>
      <c r="B133" s="373" t="s">
        <v>774</v>
      </c>
      <c r="C133" s="373" t="s">
        <v>1085</v>
      </c>
      <c r="D133" s="421">
        <v>19.41</v>
      </c>
      <c r="E133" s="270" t="s">
        <v>454</v>
      </c>
      <c r="F133" s="270">
        <f t="shared" si="0"/>
        <v>1200</v>
      </c>
      <c r="G133" s="296">
        <f t="shared" si="8"/>
        <v>1.6174999999999998E-2</v>
      </c>
    </row>
    <row r="134" spans="1:7" ht="12.75">
      <c r="A134" s="372" t="s">
        <v>1078</v>
      </c>
      <c r="B134" s="373" t="s">
        <v>774</v>
      </c>
      <c r="C134" s="373" t="s">
        <v>1086</v>
      </c>
      <c r="D134" s="421">
        <v>5.58</v>
      </c>
      <c r="E134" s="270" t="s">
        <v>454</v>
      </c>
      <c r="F134" s="270">
        <f t="shared" si="0"/>
        <v>1200</v>
      </c>
      <c r="G134" s="296">
        <f t="shared" si="8"/>
        <v>4.6500000000000005E-3</v>
      </c>
    </row>
    <row r="135" spans="1:7" ht="12.75">
      <c r="A135" s="372" t="s">
        <v>1078</v>
      </c>
      <c r="B135" s="373" t="s">
        <v>774</v>
      </c>
      <c r="C135" s="373" t="s">
        <v>1087</v>
      </c>
      <c r="D135" s="421">
        <v>5.72</v>
      </c>
      <c r="E135" s="270" t="s">
        <v>454</v>
      </c>
      <c r="F135" s="270">
        <f t="shared" si="0"/>
        <v>1200</v>
      </c>
      <c r="G135" s="296">
        <f t="shared" si="8"/>
        <v>4.7666666666666664E-3</v>
      </c>
    </row>
    <row r="136" spans="1:7" ht="12.75">
      <c r="A136" s="372" t="s">
        <v>1078</v>
      </c>
      <c r="B136" s="373" t="s">
        <v>774</v>
      </c>
      <c r="C136" s="373" t="s">
        <v>488</v>
      </c>
      <c r="D136" s="421">
        <v>11.15</v>
      </c>
      <c r="E136" s="270" t="s">
        <v>454</v>
      </c>
      <c r="F136" s="270">
        <f t="shared" si="0"/>
        <v>1200</v>
      </c>
      <c r="G136" s="296">
        <f t="shared" si="8"/>
        <v>9.2916666666666668E-3</v>
      </c>
    </row>
    <row r="137" spans="1:7" ht="12.75">
      <c r="A137" s="372" t="s">
        <v>1078</v>
      </c>
      <c r="B137" s="373" t="s">
        <v>774</v>
      </c>
      <c r="C137" s="373" t="s">
        <v>579</v>
      </c>
      <c r="D137" s="421">
        <v>54.01</v>
      </c>
      <c r="E137" s="270" t="s">
        <v>454</v>
      </c>
      <c r="F137" s="270">
        <f t="shared" si="0"/>
        <v>1200</v>
      </c>
      <c r="G137" s="296">
        <f t="shared" si="8"/>
        <v>4.5008333333333331E-2</v>
      </c>
    </row>
    <row r="138" spans="1:7" ht="12.75">
      <c r="A138" s="372" t="s">
        <v>1078</v>
      </c>
      <c r="B138" s="373" t="s">
        <v>774</v>
      </c>
      <c r="C138" s="373" t="s">
        <v>788</v>
      </c>
      <c r="D138" s="421">
        <v>8.31</v>
      </c>
      <c r="E138" s="270" t="s">
        <v>454</v>
      </c>
      <c r="F138" s="270">
        <f t="shared" si="0"/>
        <v>1200</v>
      </c>
      <c r="G138" s="296">
        <f t="shared" si="8"/>
        <v>6.9250000000000006E-3</v>
      </c>
    </row>
    <row r="139" spans="1:7" ht="12.75">
      <c r="A139" s="372" t="s">
        <v>1078</v>
      </c>
      <c r="B139" s="373" t="s">
        <v>774</v>
      </c>
      <c r="C139" s="373" t="s">
        <v>821</v>
      </c>
      <c r="D139" s="421">
        <v>40.31</v>
      </c>
      <c r="E139" s="270" t="s">
        <v>454</v>
      </c>
      <c r="F139" s="270">
        <f t="shared" si="0"/>
        <v>1200</v>
      </c>
      <c r="G139" s="296">
        <f t="shared" si="8"/>
        <v>3.3591666666666666E-2</v>
      </c>
    </row>
    <row r="140" spans="1:7" ht="12.75">
      <c r="A140" s="372" t="s">
        <v>1078</v>
      </c>
      <c r="B140" s="373" t="s">
        <v>774</v>
      </c>
      <c r="C140" s="373" t="s">
        <v>822</v>
      </c>
      <c r="D140" s="421">
        <v>48.22</v>
      </c>
      <c r="E140" s="270" t="s">
        <v>454</v>
      </c>
      <c r="F140" s="270">
        <f t="shared" si="0"/>
        <v>1200</v>
      </c>
      <c r="G140" s="296">
        <f t="shared" si="8"/>
        <v>4.0183333333333335E-2</v>
      </c>
    </row>
    <row r="141" spans="1:7" ht="12.75">
      <c r="A141" s="372" t="s">
        <v>1078</v>
      </c>
      <c r="B141" s="373" t="s">
        <v>774</v>
      </c>
      <c r="C141" s="373" t="s">
        <v>1088</v>
      </c>
      <c r="D141" s="421">
        <v>9.27</v>
      </c>
      <c r="E141" s="270" t="s">
        <v>454</v>
      </c>
      <c r="F141" s="270">
        <f t="shared" si="0"/>
        <v>1200</v>
      </c>
      <c r="G141" s="296">
        <f t="shared" si="8"/>
        <v>7.7249999999999992E-3</v>
      </c>
    </row>
    <row r="142" spans="1:7" ht="12.75">
      <c r="A142" s="372" t="s">
        <v>1078</v>
      </c>
      <c r="B142" s="373" t="s">
        <v>774</v>
      </c>
      <c r="C142" s="373" t="s">
        <v>1089</v>
      </c>
      <c r="D142" s="421">
        <v>8.17</v>
      </c>
      <c r="E142" s="270" t="s">
        <v>454</v>
      </c>
      <c r="F142" s="270">
        <f t="shared" si="0"/>
        <v>1200</v>
      </c>
      <c r="G142" s="296">
        <f t="shared" si="8"/>
        <v>6.8083333333333329E-3</v>
      </c>
    </row>
    <row r="143" spans="1:7" ht="12.75">
      <c r="A143" s="424" t="s">
        <v>1090</v>
      </c>
      <c r="B143" s="425" t="s">
        <v>1091</v>
      </c>
      <c r="C143" s="294" t="s">
        <v>1041</v>
      </c>
      <c r="D143" s="294">
        <v>29</v>
      </c>
      <c r="E143" s="270" t="s">
        <v>582</v>
      </c>
      <c r="F143" s="270">
        <f t="shared" si="0"/>
        <v>1200</v>
      </c>
      <c r="G143" s="296">
        <f t="shared" si="8"/>
        <v>2.4166666666666666E-2</v>
      </c>
    </row>
    <row r="144" spans="1:7" ht="12.75">
      <c r="A144" s="604" t="s">
        <v>15</v>
      </c>
      <c r="B144" s="565"/>
      <c r="C144" s="566"/>
      <c r="D144" s="340">
        <f>SUM(D4:D143)</f>
        <v>7322.0300000000052</v>
      </c>
      <c r="E144" s="341"/>
      <c r="F144" s="341"/>
      <c r="G144" s="342">
        <f>SUM(G4:G143)</f>
        <v>6.4777294444444431</v>
      </c>
    </row>
  </sheetData>
  <mergeCells count="42">
    <mergeCell ref="Q51:R51"/>
    <mergeCell ref="S51:T51"/>
    <mergeCell ref="Q52:Q53"/>
    <mergeCell ref="R52:R53"/>
    <mergeCell ref="S52:S53"/>
    <mergeCell ref="T52:T53"/>
    <mergeCell ref="M51:M53"/>
    <mergeCell ref="N51:N53"/>
    <mergeCell ref="A144:C144"/>
    <mergeCell ref="O51:O53"/>
    <mergeCell ref="P51:P53"/>
    <mergeCell ref="L50:T50"/>
    <mergeCell ref="L51:L53"/>
    <mergeCell ref="A1:G1"/>
    <mergeCell ref="I1:M1"/>
    <mergeCell ref="O1:T1"/>
    <mergeCell ref="A2:G2"/>
    <mergeCell ref="I2:M2"/>
    <mergeCell ref="O2:T2"/>
    <mergeCell ref="O10:T10"/>
    <mergeCell ref="O11:T11"/>
    <mergeCell ref="O18:S18"/>
    <mergeCell ref="O19:S19"/>
    <mergeCell ref="O24:T24"/>
    <mergeCell ref="P25:P27"/>
    <mergeCell ref="Q25:Q27"/>
    <mergeCell ref="T25:T27"/>
    <mergeCell ref="O25:O27"/>
    <mergeCell ref="O28:O34"/>
    <mergeCell ref="O35:O40"/>
    <mergeCell ref="O41:O43"/>
    <mergeCell ref="O46:R46"/>
    <mergeCell ref="L54:L60"/>
    <mergeCell ref="L61:L66"/>
    <mergeCell ref="L67:L69"/>
    <mergeCell ref="L72:N72"/>
    <mergeCell ref="L73:Q73"/>
    <mergeCell ref="R25:R27"/>
    <mergeCell ref="S25:S27"/>
    <mergeCell ref="S28:S34"/>
    <mergeCell ref="S35:S40"/>
    <mergeCell ref="S41:S43"/>
  </mergeCells>
  <dataValidations count="3">
    <dataValidation type="list" allowBlank="1" showInputMessage="1" showErrorMessage="1" prompt="IN 05/2017, ANEXO VI-B, ITEM 3.2" sqref="K4:K19" xr:uid="{00000000-0002-0000-1000-000000000000}">
      <formula1>"Pisos pavimentados adjacentes/contíguos às edificações,Varrição de passeios e arruamentos,Pátios e áreas verdes com alta frequência,Pátios e áreas verdes com média frequência,Pátios e áreas verdes com baixa frequência,coleta de detritos em pátios e áreas "&amp;"verdes com frequência diária"</formula1>
    </dataValidation>
    <dataValidation type="list" allowBlank="1" showInputMessage="1" showErrorMessage="1" prompt="IN 05/2017 - ANEXO VI-B, item 3.1." sqref="E4:E143" xr:uid="{00000000-0002-0000-1000-000001000000}">
      <formula1>"Pisos acarpetados,Pisos frios,Laboratórios,Almoxarifados/galpões,Oficinas,Áreas com espaços livres - saguão hall e salão,Banheiros"</formula1>
    </dataValidation>
    <dataValidation type="decimal" operator="greaterThan" allowBlank="1" showDropDown="1" showInputMessage="1" showErrorMessage="1" prompt="Informe um número!" sqref="D4:D143" xr:uid="{00000000-0002-0000-1000-000002000000}">
      <formula1>0</formula1>
    </dataValidation>
  </dataValidations>
  <pageMargins left="0.39370078740157477" right="0.39370078740157477" top="0" bottom="0" header="0" footer="0"/>
  <pageSetup paperSize="9" fitToHeight="0" pageOrder="overThenDown" orientation="portrait"/>
  <headerFooter>
    <oddHeader>&amp;CANEXO I - R - ÁREA CAMPUS SÃO SEBASTIÃO (44h Segunda à Sexta)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outlinePr summaryBelow="0" summaryRight="0"/>
  </sheetPr>
  <dimension ref="A1:J187"/>
  <sheetViews>
    <sheetView showGridLines="0" workbookViewId="0">
      <selection activeCell="E8" sqref="E8"/>
    </sheetView>
  </sheetViews>
  <sheetFormatPr defaultColWidth="14.42578125" defaultRowHeight="15" customHeight="1"/>
  <cols>
    <col min="1" max="1" width="29.5703125" customWidth="1"/>
    <col min="2" max="2" width="51.42578125" customWidth="1"/>
    <col min="3" max="3" width="20.5703125" customWidth="1"/>
    <col min="4" max="5" width="21" customWidth="1"/>
    <col min="6" max="9" width="14.5703125" customWidth="1"/>
    <col min="10" max="10" width="3.7109375" customWidth="1"/>
  </cols>
  <sheetData>
    <row r="1" spans="1:10" ht="12.75">
      <c r="A1" s="455" t="s">
        <v>1092</v>
      </c>
      <c r="B1" s="456"/>
      <c r="C1" s="456"/>
      <c r="D1" s="456"/>
      <c r="E1" s="456"/>
      <c r="F1" s="456"/>
      <c r="G1" s="456"/>
      <c r="H1" s="456"/>
      <c r="I1" s="456"/>
      <c r="J1" s="11"/>
    </row>
    <row r="2" spans="1:10" ht="12.75">
      <c r="A2" s="446" t="s">
        <v>17</v>
      </c>
      <c r="B2" s="448" t="s">
        <v>2</v>
      </c>
      <c r="C2" s="452" t="s">
        <v>15</v>
      </c>
      <c r="D2" s="434"/>
      <c r="E2" s="434"/>
      <c r="F2" s="434"/>
      <c r="G2" s="434"/>
      <c r="H2" s="434"/>
      <c r="I2" s="435"/>
      <c r="J2" s="12"/>
    </row>
    <row r="3" spans="1:10" ht="12.75">
      <c r="A3" s="444"/>
      <c r="B3" s="437"/>
      <c r="C3" s="449" t="s">
        <v>18</v>
      </c>
      <c r="D3" s="450" t="s">
        <v>19</v>
      </c>
      <c r="E3" s="450" t="s">
        <v>20</v>
      </c>
      <c r="F3" s="451" t="s">
        <v>21</v>
      </c>
      <c r="G3" s="451" t="s">
        <v>22</v>
      </c>
      <c r="H3" s="453" t="s">
        <v>23</v>
      </c>
      <c r="I3" s="453" t="s">
        <v>24</v>
      </c>
      <c r="J3" s="13"/>
    </row>
    <row r="4" spans="1:10" ht="25.5" customHeight="1">
      <c r="A4" s="447"/>
      <c r="B4" s="438"/>
      <c r="C4" s="438"/>
      <c r="D4" s="429"/>
      <c r="E4" s="429"/>
      <c r="F4" s="429"/>
      <c r="G4" s="429"/>
      <c r="H4" s="438"/>
      <c r="I4" s="438"/>
      <c r="J4" s="13"/>
    </row>
    <row r="5" spans="1:10" ht="12.75">
      <c r="A5" s="443" t="s">
        <v>25</v>
      </c>
      <c r="B5" s="14" t="s">
        <v>26</v>
      </c>
      <c r="C5" s="15">
        <v>1200</v>
      </c>
      <c r="D5" s="16">
        <f>'Valor MensalM²'!D9</f>
        <v>0</v>
      </c>
      <c r="E5" s="17">
        <f>'TOTAL área m² '!C5</f>
        <v>7040.7199999999966</v>
      </c>
      <c r="F5" s="457">
        <f>SUM(E5:E14)</f>
        <v>43512.33</v>
      </c>
      <c r="G5" s="18">
        <f t="shared" ref="G5:G20" si="0">E5/C5</f>
        <v>5.867266666666664</v>
      </c>
      <c r="H5" s="19">
        <f t="shared" ref="H5:H25" si="1">D5*E5</f>
        <v>0</v>
      </c>
      <c r="I5" s="19">
        <f t="shared" ref="I5:I25" si="2">H5*30</f>
        <v>0</v>
      </c>
      <c r="J5" s="20"/>
    </row>
    <row r="6" spans="1:10" ht="12.75">
      <c r="A6" s="444"/>
      <c r="B6" s="21" t="s">
        <v>27</v>
      </c>
      <c r="C6" s="22">
        <v>1200</v>
      </c>
      <c r="D6" s="23">
        <f>'Valor MensalM²'!D16</f>
        <v>0</v>
      </c>
      <c r="E6" s="24">
        <f>'TOTAL área m² '!C6</f>
        <v>19853.91</v>
      </c>
      <c r="F6" s="437"/>
      <c r="G6" s="25">
        <f t="shared" si="0"/>
        <v>16.544924999999999</v>
      </c>
      <c r="H6" s="26">
        <f t="shared" si="1"/>
        <v>0</v>
      </c>
      <c r="I6" s="26">
        <f t="shared" si="2"/>
        <v>0</v>
      </c>
      <c r="J6" s="20"/>
    </row>
    <row r="7" spans="1:10" ht="12.75">
      <c r="A7" s="444"/>
      <c r="B7" s="21" t="s">
        <v>28</v>
      </c>
      <c r="C7" s="22">
        <v>1000</v>
      </c>
      <c r="D7" s="23">
        <f>'Valor MensalM²'!D65</f>
        <v>0</v>
      </c>
      <c r="E7" s="24">
        <f>'TOTAL área m² '!C7</f>
        <v>2184.88</v>
      </c>
      <c r="F7" s="437"/>
      <c r="G7" s="25">
        <f t="shared" si="0"/>
        <v>2.1848800000000002</v>
      </c>
      <c r="H7" s="26">
        <f t="shared" si="1"/>
        <v>0</v>
      </c>
      <c r="I7" s="26">
        <f t="shared" si="2"/>
        <v>0</v>
      </c>
      <c r="J7" s="20"/>
    </row>
    <row r="8" spans="1:10" ht="12.75">
      <c r="A8" s="444"/>
      <c r="B8" s="21" t="s">
        <v>29</v>
      </c>
      <c r="C8" s="22">
        <v>800</v>
      </c>
      <c r="D8" s="23">
        <f>'Valor MensalM²'!D72</f>
        <v>0</v>
      </c>
      <c r="E8" s="24">
        <f>'TOTAL área m² '!C8</f>
        <v>1180.3500000000004</v>
      </c>
      <c r="F8" s="437"/>
      <c r="G8" s="25">
        <f t="shared" si="0"/>
        <v>1.4754375000000004</v>
      </c>
      <c r="H8" s="26">
        <f t="shared" si="1"/>
        <v>0</v>
      </c>
      <c r="I8" s="26">
        <f t="shared" si="2"/>
        <v>0</v>
      </c>
      <c r="J8" s="20"/>
    </row>
    <row r="9" spans="1:10" ht="12.75">
      <c r="A9" s="444"/>
      <c r="B9" s="21" t="s">
        <v>30</v>
      </c>
      <c r="C9" s="27">
        <v>450</v>
      </c>
      <c r="D9" s="23">
        <f>'Valor MensalM²'!D23</f>
        <v>0</v>
      </c>
      <c r="E9" s="24">
        <f>'TOTAL área m² '!C9</f>
        <v>283.57</v>
      </c>
      <c r="F9" s="437"/>
      <c r="G9" s="25">
        <f t="shared" si="0"/>
        <v>0.63015555555555558</v>
      </c>
      <c r="H9" s="26">
        <f t="shared" si="1"/>
        <v>0</v>
      </c>
      <c r="I9" s="26">
        <f t="shared" si="2"/>
        <v>0</v>
      </c>
      <c r="J9" s="20"/>
    </row>
    <row r="10" spans="1:10" ht="12.75">
      <c r="A10" s="444"/>
      <c r="B10" s="21" t="s">
        <v>31</v>
      </c>
      <c r="C10" s="22">
        <v>2500</v>
      </c>
      <c r="D10" s="23">
        <f>'Valor MensalM²'!D30</f>
        <v>0</v>
      </c>
      <c r="E10" s="24">
        <f>'TOTAL área m² '!C10</f>
        <v>1330.6899999999998</v>
      </c>
      <c r="F10" s="437"/>
      <c r="G10" s="25">
        <f t="shared" si="0"/>
        <v>0.53227599999999997</v>
      </c>
      <c r="H10" s="26">
        <f t="shared" si="1"/>
        <v>0</v>
      </c>
      <c r="I10" s="26">
        <f t="shared" si="2"/>
        <v>0</v>
      </c>
      <c r="J10" s="20"/>
    </row>
    <row r="11" spans="1:10" ht="12.75">
      <c r="A11" s="444"/>
      <c r="B11" s="21" t="s">
        <v>32</v>
      </c>
      <c r="C11" s="22">
        <v>1800</v>
      </c>
      <c r="D11" s="23">
        <f>'Valor MensalM²'!D37</f>
        <v>0</v>
      </c>
      <c r="E11" s="24">
        <f>'TOTAL área m² '!C11</f>
        <v>386.1</v>
      </c>
      <c r="F11" s="437"/>
      <c r="G11" s="25">
        <f t="shared" si="0"/>
        <v>0.21450000000000002</v>
      </c>
      <c r="H11" s="26">
        <f t="shared" si="1"/>
        <v>0</v>
      </c>
      <c r="I11" s="26">
        <f t="shared" si="2"/>
        <v>0</v>
      </c>
      <c r="J11" s="20"/>
    </row>
    <row r="12" spans="1:10" ht="12.75">
      <c r="A12" s="444"/>
      <c r="B12" s="21" t="s">
        <v>33</v>
      </c>
      <c r="C12" s="22">
        <v>1500</v>
      </c>
      <c r="D12" s="23">
        <f>'Valor MensalM²'!D44</f>
        <v>0</v>
      </c>
      <c r="E12" s="24">
        <f>'TOTAL área m² '!C12</f>
        <v>9337.5299999999988</v>
      </c>
      <c r="F12" s="437"/>
      <c r="G12" s="25">
        <f t="shared" si="0"/>
        <v>6.2250199999999989</v>
      </c>
      <c r="H12" s="26">
        <f t="shared" si="1"/>
        <v>0</v>
      </c>
      <c r="I12" s="26">
        <f t="shared" si="2"/>
        <v>0</v>
      </c>
      <c r="J12" s="20"/>
    </row>
    <row r="13" spans="1:10" ht="12.75">
      <c r="A13" s="444"/>
      <c r="B13" s="28" t="s">
        <v>34</v>
      </c>
      <c r="C13" s="29">
        <v>200</v>
      </c>
      <c r="D13" s="30">
        <f>'Valor MensalM²'!D58</f>
        <v>0</v>
      </c>
      <c r="E13" s="31">
        <f>'TOTAL área m² '!C13</f>
        <v>63.959999999999994</v>
      </c>
      <c r="F13" s="437"/>
      <c r="G13" s="25">
        <f t="shared" si="0"/>
        <v>0.31979999999999997</v>
      </c>
      <c r="H13" s="26">
        <f t="shared" si="1"/>
        <v>0</v>
      </c>
      <c r="I13" s="26">
        <f t="shared" si="2"/>
        <v>0</v>
      </c>
      <c r="J13" s="20"/>
    </row>
    <row r="14" spans="1:10" ht="12.75">
      <c r="A14" s="445"/>
      <c r="B14" s="32" t="s">
        <v>35</v>
      </c>
      <c r="C14" s="33">
        <v>300</v>
      </c>
      <c r="D14" s="34">
        <f>'Valor MensalM²'!D51</f>
        <v>0</v>
      </c>
      <c r="E14" s="35">
        <f>'TOTAL área m² '!C14</f>
        <v>1850.6200000000001</v>
      </c>
      <c r="F14" s="458"/>
      <c r="G14" s="36">
        <f t="shared" si="0"/>
        <v>6.1687333333333338</v>
      </c>
      <c r="H14" s="37">
        <f t="shared" si="1"/>
        <v>0</v>
      </c>
      <c r="I14" s="38">
        <f t="shared" si="2"/>
        <v>0</v>
      </c>
      <c r="J14" s="20"/>
    </row>
    <row r="15" spans="1:10" ht="12.75">
      <c r="A15" s="443" t="s">
        <v>36</v>
      </c>
      <c r="B15" s="14" t="s">
        <v>37</v>
      </c>
      <c r="C15" s="15">
        <v>2700</v>
      </c>
      <c r="D15" s="16">
        <f>'Valor MensalM²'!I9</f>
        <v>0</v>
      </c>
      <c r="E15" s="39">
        <f>'TOTAL área m² '!C15</f>
        <v>1668.4299999999998</v>
      </c>
      <c r="F15" s="459">
        <f>SUM(E15:E20)</f>
        <v>61117.08</v>
      </c>
      <c r="G15" s="40">
        <f t="shared" si="0"/>
        <v>0.61793703703703695</v>
      </c>
      <c r="H15" s="41">
        <f t="shared" si="1"/>
        <v>0</v>
      </c>
      <c r="I15" s="19">
        <f t="shared" si="2"/>
        <v>0</v>
      </c>
      <c r="J15" s="20"/>
    </row>
    <row r="16" spans="1:10" ht="12.75">
      <c r="A16" s="444"/>
      <c r="B16" s="21" t="s">
        <v>38</v>
      </c>
      <c r="C16" s="22">
        <v>9000</v>
      </c>
      <c r="D16" s="23">
        <f>'Valor MensalM²'!I16</f>
        <v>0</v>
      </c>
      <c r="E16" s="24">
        <f>'TOTAL área m² '!C16</f>
        <v>31802.920000000002</v>
      </c>
      <c r="F16" s="437"/>
      <c r="G16" s="25">
        <f t="shared" si="0"/>
        <v>3.533657777777778</v>
      </c>
      <c r="H16" s="26">
        <f t="shared" si="1"/>
        <v>0</v>
      </c>
      <c r="I16" s="26">
        <f t="shared" si="2"/>
        <v>0</v>
      </c>
      <c r="J16" s="20"/>
    </row>
    <row r="17" spans="1:10" ht="12.75">
      <c r="A17" s="444"/>
      <c r="B17" s="21" t="s">
        <v>39</v>
      </c>
      <c r="C17" s="22">
        <v>2700</v>
      </c>
      <c r="D17" s="23">
        <f>'Valor MensalM²'!I23</f>
        <v>0</v>
      </c>
      <c r="E17" s="24">
        <f>'TOTAL área m² '!C17</f>
        <v>1189.04</v>
      </c>
      <c r="F17" s="437"/>
      <c r="G17" s="25">
        <f t="shared" si="0"/>
        <v>0.44038518518518516</v>
      </c>
      <c r="H17" s="26">
        <f t="shared" si="1"/>
        <v>0</v>
      </c>
      <c r="I17" s="26">
        <f t="shared" si="2"/>
        <v>0</v>
      </c>
      <c r="J17" s="20"/>
    </row>
    <row r="18" spans="1:10" ht="12.75">
      <c r="A18" s="444"/>
      <c r="B18" s="21" t="s">
        <v>40</v>
      </c>
      <c r="C18" s="22">
        <v>2700</v>
      </c>
      <c r="D18" s="23">
        <f>'Valor MensalM²'!I30</f>
        <v>0</v>
      </c>
      <c r="E18" s="24">
        <f>'TOTAL área m² '!C18</f>
        <v>0</v>
      </c>
      <c r="F18" s="437"/>
      <c r="G18" s="25">
        <f t="shared" si="0"/>
        <v>0</v>
      </c>
      <c r="H18" s="26">
        <f t="shared" si="1"/>
        <v>0</v>
      </c>
      <c r="I18" s="26">
        <f t="shared" si="2"/>
        <v>0</v>
      </c>
      <c r="J18" s="20"/>
    </row>
    <row r="19" spans="1:10" ht="12.75">
      <c r="A19" s="444"/>
      <c r="B19" s="21" t="s">
        <v>41</v>
      </c>
      <c r="C19" s="22">
        <v>2700</v>
      </c>
      <c r="D19" s="23">
        <f>'Valor MensalM²'!I37</f>
        <v>0</v>
      </c>
      <c r="E19" s="24">
        <f>'TOTAL área m² '!C19</f>
        <v>3594</v>
      </c>
      <c r="F19" s="437"/>
      <c r="G19" s="25">
        <f t="shared" si="0"/>
        <v>1.3311111111111111</v>
      </c>
      <c r="H19" s="26">
        <f t="shared" si="1"/>
        <v>0</v>
      </c>
      <c r="I19" s="26">
        <f t="shared" si="2"/>
        <v>0</v>
      </c>
      <c r="J19" s="20"/>
    </row>
    <row r="20" spans="1:10" ht="12.75">
      <c r="A20" s="445"/>
      <c r="B20" s="32" t="s">
        <v>42</v>
      </c>
      <c r="C20" s="42">
        <v>100000</v>
      </c>
      <c r="D20" s="34">
        <f>'Valor MensalM²'!I44</f>
        <v>0</v>
      </c>
      <c r="E20" s="35">
        <f>'TOTAL área m² '!C20</f>
        <v>22862.69</v>
      </c>
      <c r="F20" s="458"/>
      <c r="G20" s="36">
        <f t="shared" si="0"/>
        <v>0.22862689999999999</v>
      </c>
      <c r="H20" s="37">
        <f t="shared" si="1"/>
        <v>0</v>
      </c>
      <c r="I20" s="38">
        <f t="shared" si="2"/>
        <v>0</v>
      </c>
      <c r="J20" s="20"/>
    </row>
    <row r="21" spans="1:10" ht="12.75">
      <c r="A21" s="443" t="s">
        <v>43</v>
      </c>
      <c r="B21" s="14" t="s">
        <v>44</v>
      </c>
      <c r="C21" s="15">
        <v>160</v>
      </c>
      <c r="D21" s="16">
        <f>'Valor MensalM²'!Q10</f>
        <v>0</v>
      </c>
      <c r="E21" s="39">
        <f>'TOTAL área m² '!C21</f>
        <v>0</v>
      </c>
      <c r="F21" s="459">
        <f>SUM(E21:E23)</f>
        <v>7963.53</v>
      </c>
      <c r="G21" s="40">
        <f t="shared" ref="G21:G22" si="3">(E21*8)/(C21*1132.6)</f>
        <v>0</v>
      </c>
      <c r="H21" s="41">
        <f t="shared" si="1"/>
        <v>0</v>
      </c>
      <c r="I21" s="19">
        <f t="shared" si="2"/>
        <v>0</v>
      </c>
      <c r="J21" s="20"/>
    </row>
    <row r="22" spans="1:10" ht="12.75">
      <c r="A22" s="444"/>
      <c r="B22" s="21" t="s">
        <v>45</v>
      </c>
      <c r="C22" s="22">
        <v>380</v>
      </c>
      <c r="D22" s="23">
        <f>'Valor MensalM²'!Q17</f>
        <v>0</v>
      </c>
      <c r="E22" s="24">
        <f>'TOTAL área m² '!C22</f>
        <v>3600.8199999999997</v>
      </c>
      <c r="F22" s="437"/>
      <c r="G22" s="40">
        <f t="shared" si="3"/>
        <v>6.6931605899792745E-2</v>
      </c>
      <c r="H22" s="41">
        <f t="shared" si="1"/>
        <v>0</v>
      </c>
      <c r="I22" s="26">
        <f t="shared" si="2"/>
        <v>0</v>
      </c>
      <c r="J22" s="20"/>
    </row>
    <row r="23" spans="1:10" ht="12.75">
      <c r="A23" s="445"/>
      <c r="B23" s="32" t="s">
        <v>46</v>
      </c>
      <c r="C23" s="42">
        <v>380</v>
      </c>
      <c r="D23" s="34">
        <f>'Valor MensalM²'!Q24</f>
        <v>0</v>
      </c>
      <c r="E23" s="31">
        <f>'TOTAL área m² '!C23</f>
        <v>4362.71</v>
      </c>
      <c r="F23" s="438"/>
      <c r="G23" s="43">
        <f>(E23*16)/(C23*188.76)</f>
        <v>0.97315666789350996</v>
      </c>
      <c r="H23" s="44">
        <f t="shared" si="1"/>
        <v>0</v>
      </c>
      <c r="I23" s="38">
        <f t="shared" si="2"/>
        <v>0</v>
      </c>
      <c r="J23" s="20"/>
    </row>
    <row r="24" spans="1:10" ht="12.75">
      <c r="A24" s="45" t="s">
        <v>47</v>
      </c>
      <c r="B24" s="46" t="s">
        <v>47</v>
      </c>
      <c r="C24" s="47">
        <v>160</v>
      </c>
      <c r="D24" s="48">
        <f>'Valor MensalM²'!Y10</f>
        <v>0</v>
      </c>
      <c r="E24" s="49">
        <f>'TOTAL área m² '!C24</f>
        <v>5319.6</v>
      </c>
      <c r="F24" s="50">
        <f t="shared" ref="F24:F25" si="4">E24</f>
        <v>5319.6</v>
      </c>
      <c r="G24" s="51">
        <f>(E24*8)/(C24*1132.6)</f>
        <v>0.23484019071163695</v>
      </c>
      <c r="H24" s="52">
        <f t="shared" si="1"/>
        <v>0</v>
      </c>
      <c r="I24" s="52">
        <f t="shared" si="2"/>
        <v>0</v>
      </c>
      <c r="J24" s="20"/>
    </row>
    <row r="25" spans="1:10" ht="25.5">
      <c r="A25" s="53" t="s">
        <v>48</v>
      </c>
      <c r="B25" s="54" t="s">
        <v>48</v>
      </c>
      <c r="C25" s="55">
        <v>450</v>
      </c>
      <c r="D25" s="56"/>
      <c r="E25" s="39">
        <f>'TOTAL área m² '!C25</f>
        <v>0</v>
      </c>
      <c r="F25" s="57">
        <f t="shared" si="4"/>
        <v>0</v>
      </c>
      <c r="G25" s="40">
        <f>(E25*16)/(C25*188.76)</f>
        <v>0</v>
      </c>
      <c r="H25" s="41">
        <f t="shared" si="1"/>
        <v>0</v>
      </c>
      <c r="I25" s="41">
        <f t="shared" si="2"/>
        <v>0</v>
      </c>
      <c r="J25" s="20"/>
    </row>
    <row r="26" spans="1:10" ht="12.75">
      <c r="A26" s="452" t="s">
        <v>15</v>
      </c>
      <c r="B26" s="434"/>
      <c r="C26" s="434"/>
      <c r="D26" s="434"/>
      <c r="E26" s="435"/>
      <c r="F26" s="58">
        <f>SUM(F5:F25)</f>
        <v>117912.54000000001</v>
      </c>
      <c r="G26" s="58">
        <f t="shared" ref="G26:I26" si="5">SUM(G5:G25)</f>
        <v>47.589640531171611</v>
      </c>
      <c r="H26" s="59">
        <f t="shared" si="5"/>
        <v>0</v>
      </c>
      <c r="I26" s="59">
        <f t="shared" si="5"/>
        <v>0</v>
      </c>
      <c r="J26" s="60"/>
    </row>
    <row r="27" spans="1:10" ht="12.75">
      <c r="A27" s="454" t="s">
        <v>49</v>
      </c>
      <c r="B27" s="434"/>
      <c r="C27" s="434"/>
      <c r="D27" s="434"/>
      <c r="E27" s="434"/>
      <c r="F27" s="61"/>
      <c r="G27" s="61">
        <f>ROUND(G26,0)</f>
        <v>48</v>
      </c>
      <c r="H27" s="61"/>
      <c r="I27" s="61"/>
      <c r="J27" s="62"/>
    </row>
    <row r="28" spans="1:10">
      <c r="A28" s="63"/>
      <c r="B28" s="64"/>
      <c r="C28" s="65"/>
      <c r="D28" s="66"/>
      <c r="E28" s="66"/>
      <c r="F28" s="66"/>
      <c r="G28" s="66"/>
      <c r="H28" s="66"/>
      <c r="I28" s="66"/>
      <c r="J28" s="66"/>
    </row>
    <row r="29" spans="1:10" ht="12.75">
      <c r="A29" s="67"/>
      <c r="B29" s="67"/>
      <c r="C29" s="67"/>
      <c r="D29" s="67"/>
      <c r="E29" s="67"/>
      <c r="F29" s="67"/>
      <c r="G29" s="67"/>
      <c r="H29" s="67"/>
      <c r="I29" s="67"/>
      <c r="J29" s="67"/>
    </row>
    <row r="30" spans="1:10" ht="12.75">
      <c r="A30" s="455" t="s">
        <v>50</v>
      </c>
      <c r="B30" s="456"/>
      <c r="C30" s="456"/>
      <c r="D30" s="456"/>
      <c r="E30" s="456"/>
      <c r="F30" s="456"/>
      <c r="G30" s="456"/>
      <c r="H30" s="456"/>
      <c r="I30" s="456"/>
      <c r="J30" s="11"/>
    </row>
    <row r="31" spans="1:10" ht="12.75">
      <c r="A31" s="446" t="s">
        <v>17</v>
      </c>
      <c r="B31" s="448" t="s">
        <v>2</v>
      </c>
      <c r="C31" s="452" t="s">
        <v>15</v>
      </c>
      <c r="D31" s="434"/>
      <c r="E31" s="434"/>
      <c r="F31" s="434"/>
      <c r="G31" s="434"/>
      <c r="H31" s="434"/>
      <c r="I31" s="435"/>
      <c r="J31" s="12"/>
    </row>
    <row r="32" spans="1:10" ht="12.75">
      <c r="A32" s="444"/>
      <c r="B32" s="437"/>
      <c r="C32" s="449" t="s">
        <v>18</v>
      </c>
      <c r="D32" s="450" t="s">
        <v>19</v>
      </c>
      <c r="E32" s="450" t="s">
        <v>20</v>
      </c>
      <c r="F32" s="451" t="s">
        <v>21</v>
      </c>
      <c r="G32" s="451" t="s">
        <v>22</v>
      </c>
      <c r="H32" s="453" t="s">
        <v>23</v>
      </c>
      <c r="I32" s="453" t="s">
        <v>24</v>
      </c>
      <c r="J32" s="13"/>
    </row>
    <row r="33" spans="1:10" ht="25.5" customHeight="1">
      <c r="A33" s="447"/>
      <c r="B33" s="438"/>
      <c r="C33" s="438"/>
      <c r="D33" s="429"/>
      <c r="E33" s="429"/>
      <c r="F33" s="429"/>
      <c r="G33" s="429"/>
      <c r="H33" s="438"/>
      <c r="I33" s="438"/>
      <c r="J33" s="13"/>
    </row>
    <row r="34" spans="1:10" ht="12.75">
      <c r="A34" s="443" t="s">
        <v>25</v>
      </c>
      <c r="B34" s="14" t="s">
        <v>26</v>
      </c>
      <c r="C34" s="15">
        <v>1200</v>
      </c>
      <c r="D34" s="16">
        <f t="shared" ref="D34:D53" si="6">D5</f>
        <v>0</v>
      </c>
      <c r="E34" s="17">
        <f>A.Reitoria!Q29</f>
        <v>0</v>
      </c>
      <c r="F34" s="457">
        <f>SUM(E34:E43)</f>
        <v>3605.0800000000008</v>
      </c>
      <c r="G34" s="18">
        <f t="shared" ref="G34:G49" si="7">E34/C34</f>
        <v>0</v>
      </c>
      <c r="H34" s="19">
        <f t="shared" ref="H34:H54" si="8">D34*E34</f>
        <v>0</v>
      </c>
      <c r="I34" s="19">
        <f t="shared" ref="I34:I54" si="9">H34*30</f>
        <v>0</v>
      </c>
      <c r="J34" s="20"/>
    </row>
    <row r="35" spans="1:10" ht="12.75">
      <c r="A35" s="444"/>
      <c r="B35" s="21" t="s">
        <v>51</v>
      </c>
      <c r="C35" s="22">
        <v>1200</v>
      </c>
      <c r="D35" s="23">
        <f t="shared" si="6"/>
        <v>0</v>
      </c>
      <c r="E35" s="24">
        <f>A.Reitoria!Q32</f>
        <v>0</v>
      </c>
      <c r="F35" s="437"/>
      <c r="G35" s="25">
        <f t="shared" si="7"/>
        <v>0</v>
      </c>
      <c r="H35" s="26">
        <f t="shared" si="8"/>
        <v>0</v>
      </c>
      <c r="I35" s="26">
        <f t="shared" si="9"/>
        <v>0</v>
      </c>
      <c r="J35" s="20"/>
    </row>
    <row r="36" spans="1:10" ht="12.75">
      <c r="A36" s="444"/>
      <c r="B36" s="21" t="s">
        <v>51</v>
      </c>
      <c r="C36" s="22">
        <v>1000</v>
      </c>
      <c r="D36" s="23">
        <f t="shared" si="6"/>
        <v>0</v>
      </c>
      <c r="E36" s="24">
        <f>A.Reitoria!Q31</f>
        <v>2184.88</v>
      </c>
      <c r="F36" s="437"/>
      <c r="G36" s="25">
        <f t="shared" si="7"/>
        <v>2.1848800000000002</v>
      </c>
      <c r="H36" s="26">
        <f t="shared" si="8"/>
        <v>0</v>
      </c>
      <c r="I36" s="26">
        <f t="shared" si="9"/>
        <v>0</v>
      </c>
      <c r="J36" s="20"/>
    </row>
    <row r="37" spans="1:10" ht="12.75">
      <c r="A37" s="444"/>
      <c r="B37" s="21" t="s">
        <v>51</v>
      </c>
      <c r="C37" s="22">
        <v>800</v>
      </c>
      <c r="D37" s="23">
        <f t="shared" si="6"/>
        <v>0</v>
      </c>
      <c r="E37" s="24">
        <f>A.Reitoria!Q30</f>
        <v>1180.3500000000004</v>
      </c>
      <c r="F37" s="437"/>
      <c r="G37" s="25">
        <f t="shared" si="7"/>
        <v>1.4754375000000004</v>
      </c>
      <c r="H37" s="26">
        <f t="shared" si="8"/>
        <v>0</v>
      </c>
      <c r="I37" s="26">
        <f t="shared" si="9"/>
        <v>0</v>
      </c>
      <c r="J37" s="20"/>
    </row>
    <row r="38" spans="1:10" ht="12.75">
      <c r="A38" s="444"/>
      <c r="B38" s="21" t="s">
        <v>30</v>
      </c>
      <c r="C38" s="27">
        <v>450</v>
      </c>
      <c r="D38" s="23">
        <f t="shared" si="6"/>
        <v>0</v>
      </c>
      <c r="E38" s="24">
        <f>A.Reitoria!Q34</f>
        <v>0</v>
      </c>
      <c r="F38" s="437"/>
      <c r="G38" s="25">
        <f t="shared" si="7"/>
        <v>0</v>
      </c>
      <c r="H38" s="26">
        <f t="shared" si="8"/>
        <v>0</v>
      </c>
      <c r="I38" s="26">
        <f t="shared" si="9"/>
        <v>0</v>
      </c>
      <c r="J38" s="20"/>
    </row>
    <row r="39" spans="1:10" ht="12.75">
      <c r="A39" s="444"/>
      <c r="B39" s="21" t="s">
        <v>31</v>
      </c>
      <c r="C39" s="22">
        <v>2500</v>
      </c>
      <c r="D39" s="23">
        <f t="shared" si="6"/>
        <v>0</v>
      </c>
      <c r="E39" s="24">
        <f>A.Reitoria!Q35</f>
        <v>75.05</v>
      </c>
      <c r="F39" s="437"/>
      <c r="G39" s="25">
        <f t="shared" si="7"/>
        <v>3.0019999999999998E-2</v>
      </c>
      <c r="H39" s="26">
        <f t="shared" si="8"/>
        <v>0</v>
      </c>
      <c r="I39" s="26">
        <f t="shared" si="9"/>
        <v>0</v>
      </c>
      <c r="J39" s="20"/>
    </row>
    <row r="40" spans="1:10" ht="12.75">
      <c r="A40" s="444"/>
      <c r="B40" s="21" t="s">
        <v>32</v>
      </c>
      <c r="C40" s="22">
        <v>1800</v>
      </c>
      <c r="D40" s="23">
        <f t="shared" si="6"/>
        <v>0</v>
      </c>
      <c r="E40" s="24">
        <f>A.Reitoria!Q36</f>
        <v>0</v>
      </c>
      <c r="F40" s="437"/>
      <c r="G40" s="25">
        <f t="shared" si="7"/>
        <v>0</v>
      </c>
      <c r="H40" s="26">
        <f t="shared" si="8"/>
        <v>0</v>
      </c>
      <c r="I40" s="26">
        <f t="shared" si="9"/>
        <v>0</v>
      </c>
      <c r="J40" s="20"/>
    </row>
    <row r="41" spans="1:10" ht="12.75">
      <c r="A41" s="444"/>
      <c r="B41" s="21" t="s">
        <v>33</v>
      </c>
      <c r="C41" s="22">
        <v>1500</v>
      </c>
      <c r="D41" s="23">
        <f t="shared" si="6"/>
        <v>0</v>
      </c>
      <c r="E41" s="24">
        <f>A.Reitoria!Q37</f>
        <v>0</v>
      </c>
      <c r="F41" s="437"/>
      <c r="G41" s="25">
        <f t="shared" si="7"/>
        <v>0</v>
      </c>
      <c r="H41" s="26">
        <f t="shared" si="8"/>
        <v>0</v>
      </c>
      <c r="I41" s="26">
        <f t="shared" si="9"/>
        <v>0</v>
      </c>
      <c r="J41" s="20"/>
    </row>
    <row r="42" spans="1:10" ht="12.75">
      <c r="A42" s="444"/>
      <c r="B42" s="28" t="s">
        <v>34</v>
      </c>
      <c r="C42" s="29">
        <v>200</v>
      </c>
      <c r="D42" s="30">
        <f t="shared" si="6"/>
        <v>0</v>
      </c>
      <c r="E42" s="31">
        <f>A.Reitoria!Q38</f>
        <v>63.959999999999994</v>
      </c>
      <c r="F42" s="437"/>
      <c r="G42" s="25">
        <f t="shared" si="7"/>
        <v>0.31979999999999997</v>
      </c>
      <c r="H42" s="26">
        <f t="shared" si="8"/>
        <v>0</v>
      </c>
      <c r="I42" s="26">
        <f t="shared" si="9"/>
        <v>0</v>
      </c>
      <c r="J42" s="20"/>
    </row>
    <row r="43" spans="1:10" ht="12.75">
      <c r="A43" s="445"/>
      <c r="B43" s="32" t="s">
        <v>35</v>
      </c>
      <c r="C43" s="33">
        <v>300</v>
      </c>
      <c r="D43" s="34">
        <f t="shared" si="6"/>
        <v>0</v>
      </c>
      <c r="E43" s="31">
        <f>A.Reitoria!Q39</f>
        <v>100.84</v>
      </c>
      <c r="F43" s="438"/>
      <c r="G43" s="36">
        <f t="shared" si="7"/>
        <v>0.33613333333333334</v>
      </c>
      <c r="H43" s="37">
        <f t="shared" si="8"/>
        <v>0</v>
      </c>
      <c r="I43" s="38">
        <f t="shared" si="9"/>
        <v>0</v>
      </c>
      <c r="J43" s="20"/>
    </row>
    <row r="44" spans="1:10" ht="12.75">
      <c r="A44" s="443" t="s">
        <v>36</v>
      </c>
      <c r="B44" s="14" t="s">
        <v>37</v>
      </c>
      <c r="C44" s="15">
        <v>2700</v>
      </c>
      <c r="D44" s="16">
        <f t="shared" si="6"/>
        <v>0</v>
      </c>
      <c r="E44" s="17">
        <f>A.Reitoria!Q40</f>
        <v>433.62</v>
      </c>
      <c r="F44" s="457">
        <f>SUM(E44:E49)</f>
        <v>951.01</v>
      </c>
      <c r="G44" s="40">
        <f t="shared" si="7"/>
        <v>0.16059999999999999</v>
      </c>
      <c r="H44" s="41">
        <f t="shared" si="8"/>
        <v>0</v>
      </c>
      <c r="I44" s="19">
        <f t="shared" si="9"/>
        <v>0</v>
      </c>
      <c r="J44" s="20"/>
    </row>
    <row r="45" spans="1:10" ht="12.75">
      <c r="A45" s="444"/>
      <c r="B45" s="21" t="s">
        <v>38</v>
      </c>
      <c r="C45" s="22">
        <v>9000</v>
      </c>
      <c r="D45" s="23">
        <f t="shared" si="6"/>
        <v>0</v>
      </c>
      <c r="E45" s="24">
        <f>A.Reitoria!Q41</f>
        <v>467.68</v>
      </c>
      <c r="F45" s="437"/>
      <c r="G45" s="25">
        <f t="shared" si="7"/>
        <v>5.1964444444444445E-2</v>
      </c>
      <c r="H45" s="26">
        <f t="shared" si="8"/>
        <v>0</v>
      </c>
      <c r="I45" s="26">
        <f t="shared" si="9"/>
        <v>0</v>
      </c>
      <c r="J45" s="20"/>
    </row>
    <row r="46" spans="1:10" ht="12.75">
      <c r="A46" s="444"/>
      <c r="B46" s="21" t="s">
        <v>39</v>
      </c>
      <c r="C46" s="22">
        <v>2700</v>
      </c>
      <c r="D46" s="23">
        <f t="shared" si="6"/>
        <v>0</v>
      </c>
      <c r="E46" s="24">
        <f>A.Reitoria!Q42</f>
        <v>49.71</v>
      </c>
      <c r="F46" s="437"/>
      <c r="G46" s="25">
        <f t="shared" si="7"/>
        <v>1.8411111111111111E-2</v>
      </c>
      <c r="H46" s="26">
        <f t="shared" si="8"/>
        <v>0</v>
      </c>
      <c r="I46" s="26">
        <f t="shared" si="9"/>
        <v>0</v>
      </c>
      <c r="J46" s="20"/>
    </row>
    <row r="47" spans="1:10" ht="12.75">
      <c r="A47" s="444"/>
      <c r="B47" s="21" t="s">
        <v>40</v>
      </c>
      <c r="C47" s="22">
        <v>2700</v>
      </c>
      <c r="D47" s="23">
        <f t="shared" si="6"/>
        <v>0</v>
      </c>
      <c r="E47" s="24">
        <f>A.Reitoria!Q43</f>
        <v>0</v>
      </c>
      <c r="F47" s="437"/>
      <c r="G47" s="25">
        <f t="shared" si="7"/>
        <v>0</v>
      </c>
      <c r="H47" s="26">
        <f t="shared" si="8"/>
        <v>0</v>
      </c>
      <c r="I47" s="26">
        <f t="shared" si="9"/>
        <v>0</v>
      </c>
      <c r="J47" s="20"/>
    </row>
    <row r="48" spans="1:10" ht="12.75">
      <c r="A48" s="444"/>
      <c r="B48" s="21" t="s">
        <v>41</v>
      </c>
      <c r="C48" s="22">
        <v>2700</v>
      </c>
      <c r="D48" s="23">
        <f t="shared" si="6"/>
        <v>0</v>
      </c>
      <c r="E48" s="24">
        <f>A.Reitoria!Q44</f>
        <v>0</v>
      </c>
      <c r="F48" s="437"/>
      <c r="G48" s="25">
        <f t="shared" si="7"/>
        <v>0</v>
      </c>
      <c r="H48" s="26">
        <f t="shared" si="8"/>
        <v>0</v>
      </c>
      <c r="I48" s="26">
        <f t="shared" si="9"/>
        <v>0</v>
      </c>
      <c r="J48" s="20"/>
    </row>
    <row r="49" spans="1:10" ht="12.75">
      <c r="A49" s="445"/>
      <c r="B49" s="32" t="s">
        <v>42</v>
      </c>
      <c r="C49" s="42">
        <v>100000</v>
      </c>
      <c r="D49" s="34">
        <f t="shared" si="6"/>
        <v>0</v>
      </c>
      <c r="E49" s="35">
        <f>A.Reitoria!Q45</f>
        <v>0</v>
      </c>
      <c r="F49" s="458"/>
      <c r="G49" s="36">
        <f t="shared" si="7"/>
        <v>0</v>
      </c>
      <c r="H49" s="37">
        <f t="shared" si="8"/>
        <v>0</v>
      </c>
      <c r="I49" s="38">
        <f t="shared" si="9"/>
        <v>0</v>
      </c>
      <c r="J49" s="20"/>
    </row>
    <row r="50" spans="1:10" ht="12.75">
      <c r="A50" s="443" t="s">
        <v>43</v>
      </c>
      <c r="B50" s="14" t="s">
        <v>44</v>
      </c>
      <c r="C50" s="15">
        <v>160</v>
      </c>
      <c r="D50" s="16">
        <f t="shared" si="6"/>
        <v>0</v>
      </c>
      <c r="E50" s="39">
        <f>A.Reitoria!Q46</f>
        <v>0</v>
      </c>
      <c r="F50" s="459">
        <f>SUM(E50:E52)</f>
        <v>761.89</v>
      </c>
      <c r="G50" s="40">
        <f t="shared" ref="G50:G51" si="10">(E50*8)/(C50*1132.6)</f>
        <v>0</v>
      </c>
      <c r="H50" s="41">
        <f t="shared" si="8"/>
        <v>0</v>
      </c>
      <c r="I50" s="19">
        <f t="shared" si="9"/>
        <v>0</v>
      </c>
      <c r="J50" s="20"/>
    </row>
    <row r="51" spans="1:10" ht="12.75">
      <c r="A51" s="444"/>
      <c r="B51" s="21" t="s">
        <v>45</v>
      </c>
      <c r="C51" s="22">
        <v>380</v>
      </c>
      <c r="D51" s="23">
        <f t="shared" si="6"/>
        <v>0</v>
      </c>
      <c r="E51" s="24">
        <f>A.Reitoria!Q47</f>
        <v>0</v>
      </c>
      <c r="F51" s="437"/>
      <c r="G51" s="40">
        <f t="shared" si="10"/>
        <v>0</v>
      </c>
      <c r="H51" s="41">
        <f t="shared" si="8"/>
        <v>0</v>
      </c>
      <c r="I51" s="26">
        <f t="shared" si="9"/>
        <v>0</v>
      </c>
      <c r="J51" s="20"/>
    </row>
    <row r="52" spans="1:10" ht="12.75">
      <c r="A52" s="445"/>
      <c r="B52" s="32" t="s">
        <v>46</v>
      </c>
      <c r="C52" s="42">
        <v>380</v>
      </c>
      <c r="D52" s="34">
        <f t="shared" si="6"/>
        <v>0</v>
      </c>
      <c r="E52" s="31">
        <f>A.Reitoria!Q48</f>
        <v>761.89</v>
      </c>
      <c r="F52" s="438"/>
      <c r="G52" s="43">
        <f>(E52*8)/(C52*188.76)</f>
        <v>8.4974515118055788E-2</v>
      </c>
      <c r="H52" s="44">
        <f t="shared" si="8"/>
        <v>0</v>
      </c>
      <c r="I52" s="38">
        <f t="shared" si="9"/>
        <v>0</v>
      </c>
      <c r="J52" s="20"/>
    </row>
    <row r="53" spans="1:10" ht="12.75">
      <c r="A53" s="45" t="s">
        <v>47</v>
      </c>
      <c r="B53" s="46" t="s">
        <v>47</v>
      </c>
      <c r="C53" s="47">
        <v>160</v>
      </c>
      <c r="D53" s="48">
        <f t="shared" si="6"/>
        <v>0</v>
      </c>
      <c r="E53" s="49">
        <f>A.Reitoria!Q49</f>
        <v>0</v>
      </c>
      <c r="F53" s="50">
        <f t="shared" ref="F53:F54" si="11">E53</f>
        <v>0</v>
      </c>
      <c r="G53" s="51">
        <f>(E53*8)/(C53*1132.6)</f>
        <v>0</v>
      </c>
      <c r="H53" s="52">
        <f t="shared" si="8"/>
        <v>0</v>
      </c>
      <c r="I53" s="52">
        <f t="shared" si="9"/>
        <v>0</v>
      </c>
      <c r="J53" s="20"/>
    </row>
    <row r="54" spans="1:10" ht="25.5">
      <c r="A54" s="53" t="s">
        <v>48</v>
      </c>
      <c r="B54" s="54" t="s">
        <v>48</v>
      </c>
      <c r="C54" s="55">
        <v>450</v>
      </c>
      <c r="D54" s="56">
        <f>'Valor MensalM²'!AD9</f>
        <v>0</v>
      </c>
      <c r="E54" s="39">
        <f>A.Reitoria!Q50</f>
        <v>0</v>
      </c>
      <c r="F54" s="57">
        <f t="shared" si="11"/>
        <v>0</v>
      </c>
      <c r="G54" s="40">
        <f>(E54*16)/(C54*188.76)</f>
        <v>0</v>
      </c>
      <c r="H54" s="41">
        <f t="shared" si="8"/>
        <v>0</v>
      </c>
      <c r="I54" s="41">
        <f t="shared" si="9"/>
        <v>0</v>
      </c>
      <c r="J54" s="20"/>
    </row>
    <row r="55" spans="1:10" ht="12.75">
      <c r="A55" s="452" t="s">
        <v>15</v>
      </c>
      <c r="B55" s="434"/>
      <c r="C55" s="434"/>
      <c r="D55" s="434"/>
      <c r="E55" s="435"/>
      <c r="F55" s="58">
        <f t="shared" ref="F55:I55" si="12">SUM(F34:F54)</f>
        <v>5317.9800000000014</v>
      </c>
      <c r="G55" s="58">
        <f t="shared" si="12"/>
        <v>4.6622209040069453</v>
      </c>
      <c r="H55" s="59">
        <f t="shared" si="12"/>
        <v>0</v>
      </c>
      <c r="I55" s="59">
        <f t="shared" si="12"/>
        <v>0</v>
      </c>
      <c r="J55" s="60"/>
    </row>
    <row r="56" spans="1:10" ht="12.75">
      <c r="A56" s="454" t="s">
        <v>49</v>
      </c>
      <c r="B56" s="434"/>
      <c r="C56" s="434"/>
      <c r="D56" s="434"/>
      <c r="E56" s="434"/>
      <c r="F56" s="61"/>
      <c r="G56" s="61">
        <f>ROUND(G55,0)</f>
        <v>5</v>
      </c>
      <c r="H56" s="61"/>
      <c r="I56" s="61"/>
      <c r="J56" s="62"/>
    </row>
    <row r="57" spans="1:10" ht="12.75">
      <c r="A57" s="63"/>
      <c r="B57" s="68"/>
      <c r="C57" s="69"/>
      <c r="D57" s="70"/>
      <c r="E57" s="70"/>
      <c r="F57" s="65"/>
      <c r="G57" s="65"/>
      <c r="H57" s="65"/>
      <c r="I57" s="65"/>
      <c r="J57" s="65"/>
    </row>
    <row r="58" spans="1:10">
      <c r="A58" s="63"/>
      <c r="B58" s="64"/>
      <c r="C58" s="65"/>
      <c r="D58" s="71"/>
      <c r="E58" s="71"/>
      <c r="F58" s="66"/>
      <c r="G58" s="66"/>
      <c r="H58" s="66"/>
      <c r="I58" s="66"/>
      <c r="J58" s="66"/>
    </row>
    <row r="59" spans="1:10" ht="12.75">
      <c r="A59" s="455" t="s">
        <v>52</v>
      </c>
      <c r="B59" s="456"/>
      <c r="C59" s="456"/>
      <c r="D59" s="456"/>
      <c r="E59" s="456"/>
      <c r="F59" s="456"/>
      <c r="G59" s="456"/>
      <c r="H59" s="456"/>
      <c r="I59" s="456"/>
      <c r="J59" s="11"/>
    </row>
    <row r="60" spans="1:10" ht="12.75">
      <c r="A60" s="446" t="s">
        <v>17</v>
      </c>
      <c r="B60" s="448" t="s">
        <v>2</v>
      </c>
      <c r="C60" s="452" t="s">
        <v>15</v>
      </c>
      <c r="D60" s="434"/>
      <c r="E60" s="434"/>
      <c r="F60" s="434"/>
      <c r="G60" s="434"/>
      <c r="H60" s="434"/>
      <c r="I60" s="435"/>
      <c r="J60" s="12"/>
    </row>
    <row r="61" spans="1:10" ht="12.75">
      <c r="A61" s="444"/>
      <c r="B61" s="437"/>
      <c r="C61" s="449" t="s">
        <v>18</v>
      </c>
      <c r="D61" s="450" t="s">
        <v>19</v>
      </c>
      <c r="E61" s="450" t="s">
        <v>20</v>
      </c>
      <c r="F61" s="451" t="s">
        <v>21</v>
      </c>
      <c r="G61" s="451" t="s">
        <v>22</v>
      </c>
      <c r="H61" s="453" t="s">
        <v>23</v>
      </c>
      <c r="I61" s="453" t="s">
        <v>24</v>
      </c>
      <c r="J61" s="13"/>
    </row>
    <row r="62" spans="1:10" ht="23.25" customHeight="1">
      <c r="A62" s="447"/>
      <c r="B62" s="438"/>
      <c r="C62" s="438"/>
      <c r="D62" s="429"/>
      <c r="E62" s="429"/>
      <c r="F62" s="429"/>
      <c r="G62" s="429"/>
      <c r="H62" s="438"/>
      <c r="I62" s="438"/>
      <c r="J62" s="13"/>
    </row>
    <row r="63" spans="1:10" ht="12.75">
      <c r="A63" s="443" t="s">
        <v>25</v>
      </c>
      <c r="B63" s="14" t="s">
        <v>26</v>
      </c>
      <c r="C63" s="15">
        <v>1200</v>
      </c>
      <c r="D63" s="16">
        <f t="shared" ref="D63:D64" si="13">D5</f>
        <v>0</v>
      </c>
      <c r="E63" s="17">
        <f>'A. DGBR'!Q28</f>
        <v>6146.5999999999967</v>
      </c>
      <c r="F63" s="457">
        <f>SUM(E63:E69)</f>
        <v>18365.049999999996</v>
      </c>
      <c r="G63" s="18">
        <f t="shared" ref="G63:G75" si="14">E63/C63</f>
        <v>5.1221666666666641</v>
      </c>
      <c r="H63" s="19">
        <f t="shared" ref="H63:H80" si="15">D63*E63</f>
        <v>0</v>
      </c>
      <c r="I63" s="19">
        <f t="shared" ref="I63:I80" si="16">H63*30</f>
        <v>0</v>
      </c>
      <c r="J63" s="20"/>
    </row>
    <row r="64" spans="1:10" ht="12.75">
      <c r="A64" s="444"/>
      <c r="B64" s="21" t="s">
        <v>51</v>
      </c>
      <c r="C64" s="22">
        <v>1200</v>
      </c>
      <c r="D64" s="23">
        <f t="shared" si="13"/>
        <v>0</v>
      </c>
      <c r="E64" s="24">
        <f>'A. DGBR'!Q29</f>
        <v>8875.8000000000011</v>
      </c>
      <c r="F64" s="437"/>
      <c r="G64" s="25">
        <f t="shared" si="14"/>
        <v>7.3965000000000005</v>
      </c>
      <c r="H64" s="26">
        <f t="shared" si="15"/>
        <v>0</v>
      </c>
      <c r="I64" s="26">
        <f t="shared" si="16"/>
        <v>0</v>
      </c>
      <c r="J64" s="20"/>
    </row>
    <row r="65" spans="1:10" ht="12.75">
      <c r="A65" s="444"/>
      <c r="B65" s="21" t="s">
        <v>30</v>
      </c>
      <c r="C65" s="27">
        <v>450</v>
      </c>
      <c r="D65" s="23">
        <f t="shared" ref="D65:D68" si="17">D9</f>
        <v>0</v>
      </c>
      <c r="E65" s="24">
        <f>'A. DGBR'!Q30</f>
        <v>0</v>
      </c>
      <c r="F65" s="437"/>
      <c r="G65" s="25">
        <f t="shared" si="14"/>
        <v>0</v>
      </c>
      <c r="H65" s="26">
        <f t="shared" si="15"/>
        <v>0</v>
      </c>
      <c r="I65" s="26">
        <f t="shared" si="16"/>
        <v>0</v>
      </c>
      <c r="J65" s="20"/>
    </row>
    <row r="66" spans="1:10" ht="12.75">
      <c r="A66" s="444"/>
      <c r="B66" s="21" t="s">
        <v>31</v>
      </c>
      <c r="C66" s="22">
        <v>2500</v>
      </c>
      <c r="D66" s="23">
        <f t="shared" si="17"/>
        <v>0</v>
      </c>
      <c r="E66" s="24">
        <f>'A. DGBR'!Q31</f>
        <v>566.39999999999986</v>
      </c>
      <c r="F66" s="437"/>
      <c r="G66" s="25">
        <f t="shared" si="14"/>
        <v>0.22655999999999996</v>
      </c>
      <c r="H66" s="26">
        <f t="shared" si="15"/>
        <v>0</v>
      </c>
      <c r="I66" s="26">
        <f t="shared" si="16"/>
        <v>0</v>
      </c>
      <c r="J66" s="20"/>
    </row>
    <row r="67" spans="1:10" ht="12.75">
      <c r="A67" s="444"/>
      <c r="B67" s="21" t="s">
        <v>32</v>
      </c>
      <c r="C67" s="22">
        <v>1800</v>
      </c>
      <c r="D67" s="23">
        <f t="shared" si="17"/>
        <v>0</v>
      </c>
      <c r="E67" s="24">
        <f>'A. DGBR'!Q32</f>
        <v>0</v>
      </c>
      <c r="F67" s="437"/>
      <c r="G67" s="25">
        <f t="shared" si="14"/>
        <v>0</v>
      </c>
      <c r="H67" s="26">
        <f t="shared" si="15"/>
        <v>0</v>
      </c>
      <c r="I67" s="26">
        <f t="shared" si="16"/>
        <v>0</v>
      </c>
      <c r="J67" s="20"/>
    </row>
    <row r="68" spans="1:10" ht="12.75">
      <c r="A68" s="444"/>
      <c r="B68" s="21" t="s">
        <v>33</v>
      </c>
      <c r="C68" s="22">
        <v>1500</v>
      </c>
      <c r="D68" s="23">
        <f t="shared" si="17"/>
        <v>0</v>
      </c>
      <c r="E68" s="24">
        <f>'A. DGBR'!Q33</f>
        <v>2052.8999999999996</v>
      </c>
      <c r="F68" s="437"/>
      <c r="G68" s="25">
        <f t="shared" si="14"/>
        <v>1.3685999999999998</v>
      </c>
      <c r="H68" s="26">
        <f t="shared" si="15"/>
        <v>0</v>
      </c>
      <c r="I68" s="26">
        <f t="shared" si="16"/>
        <v>0</v>
      </c>
      <c r="J68" s="20"/>
    </row>
    <row r="69" spans="1:10" ht="12.75">
      <c r="A69" s="445"/>
      <c r="B69" s="32" t="s">
        <v>53</v>
      </c>
      <c r="C69" s="33">
        <v>300</v>
      </c>
      <c r="D69" s="34">
        <f>D14</f>
        <v>0</v>
      </c>
      <c r="E69" s="24">
        <f>'A. DGBR'!Q34</f>
        <v>723.35</v>
      </c>
      <c r="F69" s="438"/>
      <c r="G69" s="36">
        <f t="shared" si="14"/>
        <v>2.4111666666666669</v>
      </c>
      <c r="H69" s="37">
        <f t="shared" si="15"/>
        <v>0</v>
      </c>
      <c r="I69" s="38">
        <f t="shared" si="16"/>
        <v>0</v>
      </c>
      <c r="J69" s="20"/>
    </row>
    <row r="70" spans="1:10" ht="12.75">
      <c r="A70" s="443" t="s">
        <v>36</v>
      </c>
      <c r="B70" s="14" t="s">
        <v>37</v>
      </c>
      <c r="C70" s="15">
        <v>2700</v>
      </c>
      <c r="D70" s="56">
        <f t="shared" ref="D70:D79" si="18">D44</f>
        <v>0</v>
      </c>
      <c r="E70" s="17">
        <f>'A. DGBR'!Q35</f>
        <v>0</v>
      </c>
      <c r="F70" s="457">
        <f>SUM(E70:E75)</f>
        <v>7954.43</v>
      </c>
      <c r="G70" s="40">
        <f t="shared" si="14"/>
        <v>0</v>
      </c>
      <c r="H70" s="41">
        <f t="shared" si="15"/>
        <v>0</v>
      </c>
      <c r="I70" s="19">
        <f t="shared" si="16"/>
        <v>0</v>
      </c>
      <c r="J70" s="20"/>
    </row>
    <row r="71" spans="1:10" ht="12.75">
      <c r="A71" s="444"/>
      <c r="B71" s="21" t="s">
        <v>38</v>
      </c>
      <c r="C71" s="22">
        <v>9000</v>
      </c>
      <c r="D71" s="23">
        <f t="shared" si="18"/>
        <v>0</v>
      </c>
      <c r="E71" s="24">
        <f>'A. DGBR'!Q36</f>
        <v>7954.43</v>
      </c>
      <c r="F71" s="437"/>
      <c r="G71" s="25">
        <f t="shared" si="14"/>
        <v>0.88382555555555564</v>
      </c>
      <c r="H71" s="26">
        <f t="shared" si="15"/>
        <v>0</v>
      </c>
      <c r="I71" s="26">
        <f t="shared" si="16"/>
        <v>0</v>
      </c>
      <c r="J71" s="20"/>
    </row>
    <row r="72" spans="1:10" ht="12.75">
      <c r="A72" s="444"/>
      <c r="B72" s="21" t="s">
        <v>39</v>
      </c>
      <c r="C72" s="22">
        <v>2700</v>
      </c>
      <c r="D72" s="23">
        <f t="shared" si="18"/>
        <v>0</v>
      </c>
      <c r="E72" s="24">
        <f>'A. DGBR'!Q37</f>
        <v>0</v>
      </c>
      <c r="F72" s="437"/>
      <c r="G72" s="25">
        <f t="shared" si="14"/>
        <v>0</v>
      </c>
      <c r="H72" s="26">
        <f t="shared" si="15"/>
        <v>0</v>
      </c>
      <c r="I72" s="26">
        <f t="shared" si="16"/>
        <v>0</v>
      </c>
      <c r="J72" s="20"/>
    </row>
    <row r="73" spans="1:10" ht="12.75">
      <c r="A73" s="444"/>
      <c r="B73" s="21" t="s">
        <v>40</v>
      </c>
      <c r="C73" s="22">
        <v>2700</v>
      </c>
      <c r="D73" s="23">
        <f t="shared" si="18"/>
        <v>0</v>
      </c>
      <c r="E73" s="24">
        <f>'A. DGBR'!Q38</f>
        <v>0</v>
      </c>
      <c r="F73" s="437"/>
      <c r="G73" s="25">
        <f t="shared" si="14"/>
        <v>0</v>
      </c>
      <c r="H73" s="26">
        <f t="shared" si="15"/>
        <v>0</v>
      </c>
      <c r="I73" s="26">
        <f t="shared" si="16"/>
        <v>0</v>
      </c>
      <c r="J73" s="20"/>
    </row>
    <row r="74" spans="1:10" ht="12.75">
      <c r="A74" s="444"/>
      <c r="B74" s="21" t="s">
        <v>41</v>
      </c>
      <c r="C74" s="22">
        <v>2700</v>
      </c>
      <c r="D74" s="23">
        <f t="shared" si="18"/>
        <v>0</v>
      </c>
      <c r="E74" s="24">
        <f>'A. DGBR'!Q39</f>
        <v>0</v>
      </c>
      <c r="F74" s="437"/>
      <c r="G74" s="25">
        <f t="shared" si="14"/>
        <v>0</v>
      </c>
      <c r="H74" s="26">
        <f t="shared" si="15"/>
        <v>0</v>
      </c>
      <c r="I74" s="26">
        <f t="shared" si="16"/>
        <v>0</v>
      </c>
      <c r="J74" s="20"/>
    </row>
    <row r="75" spans="1:10" ht="12.75">
      <c r="A75" s="445"/>
      <c r="B75" s="32" t="s">
        <v>42</v>
      </c>
      <c r="C75" s="42">
        <v>100000</v>
      </c>
      <c r="D75" s="30">
        <f t="shared" si="18"/>
        <v>0</v>
      </c>
      <c r="E75" s="24">
        <f>'A. DGBR'!Q40</f>
        <v>0</v>
      </c>
      <c r="F75" s="458"/>
      <c r="G75" s="36">
        <f t="shared" si="14"/>
        <v>0</v>
      </c>
      <c r="H75" s="37">
        <f t="shared" si="15"/>
        <v>0</v>
      </c>
      <c r="I75" s="38">
        <f t="shared" si="16"/>
        <v>0</v>
      </c>
      <c r="J75" s="20"/>
    </row>
    <row r="76" spans="1:10" ht="12.75">
      <c r="A76" s="443" t="s">
        <v>43</v>
      </c>
      <c r="B76" s="14" t="s">
        <v>44</v>
      </c>
      <c r="C76" s="15">
        <v>160</v>
      </c>
      <c r="D76" s="16">
        <f t="shared" si="18"/>
        <v>0</v>
      </c>
      <c r="E76" s="17">
        <f>'A. DGBR'!Q41</f>
        <v>0</v>
      </c>
      <c r="F76" s="459">
        <f>SUM(E76:E78)</f>
        <v>2936.16</v>
      </c>
      <c r="G76" s="40">
        <f t="shared" ref="G76:G77" si="19">(E76*8)/(C76*1132.6)</f>
        <v>0</v>
      </c>
      <c r="H76" s="41">
        <f t="shared" si="15"/>
        <v>0</v>
      </c>
      <c r="I76" s="19">
        <f t="shared" si="16"/>
        <v>0</v>
      </c>
      <c r="J76" s="20"/>
    </row>
    <row r="77" spans="1:10" ht="12.75">
      <c r="A77" s="444"/>
      <c r="B77" s="21" t="s">
        <v>45</v>
      </c>
      <c r="C77" s="22">
        <v>380</v>
      </c>
      <c r="D77" s="23">
        <f t="shared" si="18"/>
        <v>0</v>
      </c>
      <c r="E77" s="24">
        <f>'A. DGBR'!Q42</f>
        <v>1468.08</v>
      </c>
      <c r="F77" s="437"/>
      <c r="G77" s="40">
        <f t="shared" si="19"/>
        <v>2.7288493173601498E-2</v>
      </c>
      <c r="H77" s="41">
        <f t="shared" si="15"/>
        <v>0</v>
      </c>
      <c r="I77" s="26">
        <f t="shared" si="16"/>
        <v>0</v>
      </c>
      <c r="J77" s="20"/>
    </row>
    <row r="78" spans="1:10" ht="12.75">
      <c r="A78" s="445"/>
      <c r="B78" s="32" t="s">
        <v>46</v>
      </c>
      <c r="C78" s="42">
        <v>380</v>
      </c>
      <c r="D78" s="30">
        <f t="shared" si="18"/>
        <v>0</v>
      </c>
      <c r="E78" s="31">
        <f>'A. DGBR'!Q43</f>
        <v>1468.08</v>
      </c>
      <c r="F78" s="438"/>
      <c r="G78" s="43">
        <f>(E78*16)/(C78*188.76)</f>
        <v>0.32747348345434468</v>
      </c>
      <c r="H78" s="44">
        <f t="shared" si="15"/>
        <v>0</v>
      </c>
      <c r="I78" s="38">
        <f t="shared" si="16"/>
        <v>0</v>
      </c>
      <c r="J78" s="20"/>
    </row>
    <row r="79" spans="1:10" ht="12.75">
      <c r="A79" s="45" t="s">
        <v>47</v>
      </c>
      <c r="B79" s="46" t="s">
        <v>47</v>
      </c>
      <c r="C79" s="47">
        <v>160</v>
      </c>
      <c r="D79" s="48">
        <f t="shared" si="18"/>
        <v>0</v>
      </c>
      <c r="E79" s="49">
        <f>'A. DGBR'!Q44</f>
        <v>5319.6</v>
      </c>
      <c r="F79" s="50">
        <f t="shared" ref="F79:F80" si="20">E79</f>
        <v>5319.6</v>
      </c>
      <c r="G79" s="51">
        <f>(E79*8)/(C79*1132.6)</f>
        <v>0.23484019071163695</v>
      </c>
      <c r="H79" s="52">
        <f t="shared" si="15"/>
        <v>0</v>
      </c>
      <c r="I79" s="52">
        <f t="shared" si="16"/>
        <v>0</v>
      </c>
      <c r="J79" s="20"/>
    </row>
    <row r="80" spans="1:10" ht="25.5">
      <c r="A80" s="53" t="s">
        <v>48</v>
      </c>
      <c r="B80" s="54" t="s">
        <v>48</v>
      </c>
      <c r="C80" s="55">
        <v>450</v>
      </c>
      <c r="D80" s="56">
        <v>0</v>
      </c>
      <c r="E80" s="39">
        <f>'A. DGBR'!Q45</f>
        <v>0</v>
      </c>
      <c r="F80" s="57">
        <f t="shared" si="20"/>
        <v>0</v>
      </c>
      <c r="G80" s="40">
        <f>(E80*16)/(C80*188.76)</f>
        <v>0</v>
      </c>
      <c r="H80" s="41">
        <f t="shared" si="15"/>
        <v>0</v>
      </c>
      <c r="I80" s="41">
        <f t="shared" si="16"/>
        <v>0</v>
      </c>
      <c r="J80" s="20"/>
    </row>
    <row r="81" spans="1:10" ht="12.75">
      <c r="A81" s="452" t="s">
        <v>15</v>
      </c>
      <c r="B81" s="434"/>
      <c r="C81" s="434"/>
      <c r="D81" s="434"/>
      <c r="E81" s="435"/>
      <c r="F81" s="58">
        <f>SUM(F63:F80)</f>
        <v>34575.24</v>
      </c>
      <c r="G81" s="58">
        <f t="shared" ref="G81:I81" si="21">SUM(G63:G80)</f>
        <v>17.998421056228469</v>
      </c>
      <c r="H81" s="59">
        <f t="shared" si="21"/>
        <v>0</v>
      </c>
      <c r="I81" s="59">
        <f t="shared" si="21"/>
        <v>0</v>
      </c>
      <c r="J81" s="60"/>
    </row>
    <row r="82" spans="1:10" ht="12.75">
      <c r="A82" s="454" t="s">
        <v>49</v>
      </c>
      <c r="B82" s="434"/>
      <c r="C82" s="434"/>
      <c r="D82" s="434"/>
      <c r="E82" s="434"/>
      <c r="F82" s="61"/>
      <c r="G82" s="61">
        <f>ROUND(G81,0)</f>
        <v>18</v>
      </c>
      <c r="H82" s="61"/>
      <c r="I82" s="61"/>
      <c r="J82" s="62"/>
    </row>
    <row r="83" spans="1:10" ht="12.75">
      <c r="A83" s="460"/>
      <c r="B83" s="461"/>
      <c r="C83" s="461"/>
      <c r="D83" s="461"/>
      <c r="E83" s="461"/>
      <c r="F83" s="72"/>
      <c r="G83" s="72"/>
      <c r="H83" s="72"/>
      <c r="I83" s="72"/>
      <c r="J83" s="72"/>
    </row>
    <row r="84" spans="1:10" ht="12.75">
      <c r="A84" s="63"/>
      <c r="B84" s="68"/>
      <c r="C84" s="69"/>
      <c r="D84" s="70"/>
      <c r="E84" s="70"/>
      <c r="F84" s="65"/>
      <c r="G84" s="65"/>
      <c r="H84" s="65"/>
      <c r="I84" s="65"/>
      <c r="J84" s="65"/>
    </row>
    <row r="85" spans="1:10" ht="12.75">
      <c r="A85" s="455" t="s">
        <v>54</v>
      </c>
      <c r="B85" s="456"/>
      <c r="C85" s="456"/>
      <c r="D85" s="456"/>
      <c r="E85" s="456"/>
      <c r="F85" s="456"/>
      <c r="G85" s="456"/>
      <c r="H85" s="456"/>
      <c r="I85" s="456"/>
      <c r="J85" s="11"/>
    </row>
    <row r="86" spans="1:10" ht="12.75">
      <c r="A86" s="446" t="s">
        <v>17</v>
      </c>
      <c r="B86" s="448" t="s">
        <v>2</v>
      </c>
      <c r="C86" s="452" t="s">
        <v>15</v>
      </c>
      <c r="D86" s="434"/>
      <c r="E86" s="434"/>
      <c r="F86" s="434"/>
      <c r="G86" s="434"/>
      <c r="H86" s="434"/>
      <c r="I86" s="435"/>
      <c r="J86" s="12"/>
    </row>
    <row r="87" spans="1:10" ht="12.75">
      <c r="A87" s="444"/>
      <c r="B87" s="437"/>
      <c r="C87" s="449" t="s">
        <v>18</v>
      </c>
      <c r="D87" s="450" t="s">
        <v>19</v>
      </c>
      <c r="E87" s="450" t="s">
        <v>20</v>
      </c>
      <c r="F87" s="451" t="s">
        <v>21</v>
      </c>
      <c r="G87" s="451" t="s">
        <v>22</v>
      </c>
      <c r="H87" s="453" t="s">
        <v>23</v>
      </c>
      <c r="I87" s="453" t="s">
        <v>24</v>
      </c>
      <c r="J87" s="13"/>
    </row>
    <row r="88" spans="1:10" ht="24.75" customHeight="1">
      <c r="A88" s="447"/>
      <c r="B88" s="438"/>
      <c r="C88" s="438"/>
      <c r="D88" s="429"/>
      <c r="E88" s="429"/>
      <c r="F88" s="429"/>
      <c r="G88" s="429"/>
      <c r="H88" s="438"/>
      <c r="I88" s="438"/>
      <c r="J88" s="13"/>
    </row>
    <row r="89" spans="1:10" ht="12.75">
      <c r="A89" s="443" t="s">
        <v>25</v>
      </c>
      <c r="B89" s="14" t="s">
        <v>26</v>
      </c>
      <c r="C89" s="15">
        <v>1200</v>
      </c>
      <c r="D89" s="16">
        <f t="shared" ref="D89:D90" si="22">D5</f>
        <v>0</v>
      </c>
      <c r="E89" s="17">
        <f>'A. DGCE'!Q28</f>
        <v>0</v>
      </c>
      <c r="F89" s="457">
        <f>SUM(E89:E95)</f>
        <v>5983.3000000000011</v>
      </c>
      <c r="G89" s="18">
        <f t="shared" ref="G89:G101" si="23">E89/C89</f>
        <v>0</v>
      </c>
      <c r="H89" s="19">
        <f t="shared" ref="H89:H106" si="24">D89*E89</f>
        <v>0</v>
      </c>
      <c r="I89" s="19">
        <f t="shared" ref="I89:I106" si="25">H89*30</f>
        <v>0</v>
      </c>
      <c r="J89" s="20"/>
    </row>
    <row r="90" spans="1:10" ht="12.75">
      <c r="A90" s="444"/>
      <c r="B90" s="21" t="s">
        <v>51</v>
      </c>
      <c r="C90" s="22">
        <v>1200</v>
      </c>
      <c r="D90" s="23">
        <f t="shared" si="22"/>
        <v>0</v>
      </c>
      <c r="E90" s="24">
        <f>'A. DGCE'!Q29</f>
        <v>3525.9200000000005</v>
      </c>
      <c r="F90" s="437"/>
      <c r="G90" s="25">
        <f t="shared" si="23"/>
        <v>2.9382666666666672</v>
      </c>
      <c r="H90" s="26">
        <f t="shared" si="24"/>
        <v>0</v>
      </c>
      <c r="I90" s="26">
        <f t="shared" si="25"/>
        <v>0</v>
      </c>
      <c r="J90" s="20"/>
    </row>
    <row r="91" spans="1:10" ht="12.75">
      <c r="A91" s="444"/>
      <c r="B91" s="21" t="s">
        <v>30</v>
      </c>
      <c r="C91" s="27">
        <v>450</v>
      </c>
      <c r="D91" s="23">
        <f t="shared" ref="D91:D94" si="26">D9</f>
        <v>0</v>
      </c>
      <c r="E91" s="24">
        <f>'A. DGCE'!Q30</f>
        <v>0</v>
      </c>
      <c r="F91" s="437"/>
      <c r="G91" s="25">
        <f t="shared" si="23"/>
        <v>0</v>
      </c>
      <c r="H91" s="26">
        <f t="shared" si="24"/>
        <v>0</v>
      </c>
      <c r="I91" s="26">
        <f t="shared" si="25"/>
        <v>0</v>
      </c>
      <c r="J91" s="20"/>
    </row>
    <row r="92" spans="1:10" ht="12.75">
      <c r="A92" s="444"/>
      <c r="B92" s="21" t="s">
        <v>31</v>
      </c>
      <c r="C92" s="22">
        <v>2500</v>
      </c>
      <c r="D92" s="23">
        <f t="shared" si="26"/>
        <v>0</v>
      </c>
      <c r="E92" s="24">
        <f>'A. DGCE'!Q31</f>
        <v>269.94</v>
      </c>
      <c r="F92" s="437"/>
      <c r="G92" s="25">
        <f t="shared" si="23"/>
        <v>0.107976</v>
      </c>
      <c r="H92" s="26">
        <f t="shared" si="24"/>
        <v>0</v>
      </c>
      <c r="I92" s="26">
        <f t="shared" si="25"/>
        <v>0</v>
      </c>
      <c r="J92" s="20"/>
    </row>
    <row r="93" spans="1:10" ht="12.75">
      <c r="A93" s="444"/>
      <c r="B93" s="21" t="s">
        <v>32</v>
      </c>
      <c r="C93" s="22">
        <v>1800</v>
      </c>
      <c r="D93" s="23">
        <f t="shared" si="26"/>
        <v>0</v>
      </c>
      <c r="E93" s="24">
        <f>'A. DGCE'!Q32</f>
        <v>0</v>
      </c>
      <c r="F93" s="437"/>
      <c r="G93" s="25">
        <f t="shared" si="23"/>
        <v>0</v>
      </c>
      <c r="H93" s="26">
        <f t="shared" si="24"/>
        <v>0</v>
      </c>
      <c r="I93" s="26">
        <f t="shared" si="25"/>
        <v>0</v>
      </c>
      <c r="J93" s="20"/>
    </row>
    <row r="94" spans="1:10" ht="12.75">
      <c r="A94" s="444"/>
      <c r="B94" s="21" t="s">
        <v>33</v>
      </c>
      <c r="C94" s="22">
        <v>1500</v>
      </c>
      <c r="D94" s="23">
        <f t="shared" si="26"/>
        <v>0</v>
      </c>
      <c r="E94" s="24">
        <f>'A. DGCE'!Q33</f>
        <v>1899.21</v>
      </c>
      <c r="F94" s="437"/>
      <c r="G94" s="25">
        <f t="shared" si="23"/>
        <v>1.26614</v>
      </c>
      <c r="H94" s="26">
        <f t="shared" si="24"/>
        <v>0</v>
      </c>
      <c r="I94" s="26">
        <f t="shared" si="25"/>
        <v>0</v>
      </c>
      <c r="J94" s="20"/>
    </row>
    <row r="95" spans="1:10" ht="12.75">
      <c r="A95" s="445"/>
      <c r="B95" s="32" t="s">
        <v>53</v>
      </c>
      <c r="C95" s="33">
        <v>300</v>
      </c>
      <c r="D95" s="30">
        <f t="shared" ref="D95:D105" si="27">D14</f>
        <v>0</v>
      </c>
      <c r="E95" s="31">
        <f>'A. DGCE'!Q34</f>
        <v>288.23</v>
      </c>
      <c r="F95" s="438"/>
      <c r="G95" s="36">
        <f t="shared" si="23"/>
        <v>0.96076666666666677</v>
      </c>
      <c r="H95" s="37">
        <f t="shared" si="24"/>
        <v>0</v>
      </c>
      <c r="I95" s="38">
        <f t="shared" si="25"/>
        <v>0</v>
      </c>
      <c r="J95" s="20"/>
    </row>
    <row r="96" spans="1:10" ht="12.75">
      <c r="A96" s="443" t="s">
        <v>36</v>
      </c>
      <c r="B96" s="14" t="s">
        <v>37</v>
      </c>
      <c r="C96" s="15">
        <v>2700</v>
      </c>
      <c r="D96" s="16">
        <f t="shared" si="27"/>
        <v>0</v>
      </c>
      <c r="E96" s="17">
        <f>'A. DGCE'!Q35</f>
        <v>0</v>
      </c>
      <c r="F96" s="457">
        <f>SUM(E96:E101)</f>
        <v>14112.56</v>
      </c>
      <c r="G96" s="18">
        <f t="shared" si="23"/>
        <v>0</v>
      </c>
      <c r="H96" s="19">
        <f t="shared" si="24"/>
        <v>0</v>
      </c>
      <c r="I96" s="19">
        <f t="shared" si="25"/>
        <v>0</v>
      </c>
      <c r="J96" s="20"/>
    </row>
    <row r="97" spans="1:10" ht="12.75">
      <c r="A97" s="444"/>
      <c r="B97" s="21" t="s">
        <v>38</v>
      </c>
      <c r="C97" s="22">
        <v>9000</v>
      </c>
      <c r="D97" s="23">
        <f t="shared" si="27"/>
        <v>0</v>
      </c>
      <c r="E97" s="24">
        <f>'A. DGCE'!Q36</f>
        <v>7105.11</v>
      </c>
      <c r="F97" s="437"/>
      <c r="G97" s="25">
        <f t="shared" si="23"/>
        <v>0.78945666666666658</v>
      </c>
      <c r="H97" s="26">
        <f t="shared" si="24"/>
        <v>0</v>
      </c>
      <c r="I97" s="26">
        <f t="shared" si="25"/>
        <v>0</v>
      </c>
      <c r="J97" s="20"/>
    </row>
    <row r="98" spans="1:10" ht="12.75">
      <c r="A98" s="444"/>
      <c r="B98" s="21" t="s">
        <v>39</v>
      </c>
      <c r="C98" s="22">
        <v>2700</v>
      </c>
      <c r="D98" s="23">
        <f t="shared" si="27"/>
        <v>0</v>
      </c>
      <c r="E98" s="24">
        <f>'A. DGCE'!Q37</f>
        <v>0</v>
      </c>
      <c r="F98" s="437"/>
      <c r="G98" s="25">
        <f t="shared" si="23"/>
        <v>0</v>
      </c>
      <c r="H98" s="26">
        <f t="shared" si="24"/>
        <v>0</v>
      </c>
      <c r="I98" s="26">
        <f t="shared" si="25"/>
        <v>0</v>
      </c>
      <c r="J98" s="20"/>
    </row>
    <row r="99" spans="1:10" ht="12.75">
      <c r="A99" s="444"/>
      <c r="B99" s="21" t="s">
        <v>40</v>
      </c>
      <c r="C99" s="22">
        <v>2700</v>
      </c>
      <c r="D99" s="23">
        <f t="shared" si="27"/>
        <v>0</v>
      </c>
      <c r="E99" s="24">
        <f>'A. DGCE'!Q38</f>
        <v>0</v>
      </c>
      <c r="F99" s="437"/>
      <c r="G99" s="25">
        <f t="shared" si="23"/>
        <v>0</v>
      </c>
      <c r="H99" s="26">
        <f t="shared" si="24"/>
        <v>0</v>
      </c>
      <c r="I99" s="26">
        <f t="shared" si="25"/>
        <v>0</v>
      </c>
      <c r="J99" s="20"/>
    </row>
    <row r="100" spans="1:10" ht="12.75">
      <c r="A100" s="444"/>
      <c r="B100" s="21" t="s">
        <v>41</v>
      </c>
      <c r="C100" s="22">
        <v>2700</v>
      </c>
      <c r="D100" s="23">
        <f t="shared" si="27"/>
        <v>0</v>
      </c>
      <c r="E100" s="24">
        <f>'A. DGCE'!Q39</f>
        <v>0</v>
      </c>
      <c r="F100" s="437"/>
      <c r="G100" s="25">
        <f t="shared" si="23"/>
        <v>0</v>
      </c>
      <c r="H100" s="26">
        <f t="shared" si="24"/>
        <v>0</v>
      </c>
      <c r="I100" s="26">
        <f t="shared" si="25"/>
        <v>0</v>
      </c>
      <c r="J100" s="20"/>
    </row>
    <row r="101" spans="1:10" ht="12.75">
      <c r="A101" s="445"/>
      <c r="B101" s="32" t="s">
        <v>42</v>
      </c>
      <c r="C101" s="42">
        <v>100000</v>
      </c>
      <c r="D101" s="30">
        <f t="shared" si="27"/>
        <v>0</v>
      </c>
      <c r="E101" s="24">
        <f>'A. DGCE'!Q40</f>
        <v>7007.45</v>
      </c>
      <c r="F101" s="438"/>
      <c r="G101" s="36">
        <f t="shared" si="23"/>
        <v>7.0074499999999998E-2</v>
      </c>
      <c r="H101" s="37">
        <f t="shared" si="24"/>
        <v>0</v>
      </c>
      <c r="I101" s="38">
        <f t="shared" si="25"/>
        <v>0</v>
      </c>
      <c r="J101" s="20"/>
    </row>
    <row r="102" spans="1:10" ht="12.75">
      <c r="A102" s="443" t="s">
        <v>43</v>
      </c>
      <c r="B102" s="14" t="s">
        <v>44</v>
      </c>
      <c r="C102" s="15">
        <v>160</v>
      </c>
      <c r="D102" s="16">
        <f t="shared" si="27"/>
        <v>0</v>
      </c>
      <c r="E102" s="17">
        <f>'A. DGCE'!Q41</f>
        <v>0</v>
      </c>
      <c r="F102" s="457">
        <f>SUM(E102:E104)</f>
        <v>594</v>
      </c>
      <c r="G102" s="18">
        <f t="shared" ref="G102:G103" si="28">(E102*8)/(C102*1132.6)</f>
        <v>0</v>
      </c>
      <c r="H102" s="19">
        <f t="shared" si="24"/>
        <v>0</v>
      </c>
      <c r="I102" s="19">
        <f t="shared" si="25"/>
        <v>0</v>
      </c>
      <c r="J102" s="20"/>
    </row>
    <row r="103" spans="1:10" ht="12.75">
      <c r="A103" s="444"/>
      <c r="B103" s="21" t="s">
        <v>45</v>
      </c>
      <c r="C103" s="22">
        <v>380</v>
      </c>
      <c r="D103" s="23">
        <f t="shared" si="27"/>
        <v>0</v>
      </c>
      <c r="E103" s="24">
        <f>'A. DGCE'!Q42</f>
        <v>297</v>
      </c>
      <c r="F103" s="437"/>
      <c r="G103" s="40">
        <f t="shared" si="28"/>
        <v>5.5206000167290917E-3</v>
      </c>
      <c r="H103" s="41">
        <f t="shared" si="24"/>
        <v>0</v>
      </c>
      <c r="I103" s="26">
        <f t="shared" si="25"/>
        <v>0</v>
      </c>
      <c r="J103" s="20"/>
    </row>
    <row r="104" spans="1:10" ht="12.75">
      <c r="A104" s="445"/>
      <c r="B104" s="32" t="s">
        <v>46</v>
      </c>
      <c r="C104" s="42">
        <v>380</v>
      </c>
      <c r="D104" s="30">
        <f t="shared" si="27"/>
        <v>0</v>
      </c>
      <c r="E104" s="31">
        <f>'A. DGCE'!Q43</f>
        <v>297</v>
      </c>
      <c r="F104" s="438"/>
      <c r="G104" s="43">
        <f>(E104*16)/(C104*188.76)</f>
        <v>6.6249539933750462E-2</v>
      </c>
      <c r="H104" s="44">
        <f t="shared" si="24"/>
        <v>0</v>
      </c>
      <c r="I104" s="38">
        <f t="shared" si="25"/>
        <v>0</v>
      </c>
      <c r="J104" s="20"/>
    </row>
    <row r="105" spans="1:10" ht="12.75">
      <c r="A105" s="45" t="s">
        <v>47</v>
      </c>
      <c r="B105" s="46" t="s">
        <v>47</v>
      </c>
      <c r="C105" s="47">
        <v>160</v>
      </c>
      <c r="D105" s="73">
        <f t="shared" si="27"/>
        <v>0</v>
      </c>
      <c r="E105" s="49">
        <f>'A. DGCE'!Q44</f>
        <v>0</v>
      </c>
      <c r="F105" s="50">
        <f t="shared" ref="F105:F106" si="29">E105</f>
        <v>0</v>
      </c>
      <c r="G105" s="51">
        <f>(E105*8)/(C105*1132.6)</f>
        <v>0</v>
      </c>
      <c r="H105" s="52">
        <f t="shared" si="24"/>
        <v>0</v>
      </c>
      <c r="I105" s="52">
        <f t="shared" si="25"/>
        <v>0</v>
      </c>
      <c r="J105" s="20"/>
    </row>
    <row r="106" spans="1:10" ht="25.5">
      <c r="A106" s="53" t="s">
        <v>48</v>
      </c>
      <c r="B106" s="54" t="s">
        <v>48</v>
      </c>
      <c r="C106" s="55">
        <v>450</v>
      </c>
      <c r="D106" s="56">
        <v>0</v>
      </c>
      <c r="E106" s="39">
        <f>'A. DGCE'!Q45</f>
        <v>0</v>
      </c>
      <c r="F106" s="57">
        <f t="shared" si="29"/>
        <v>0</v>
      </c>
      <c r="G106" s="40">
        <f>(E106*16)/(C106*188.76)</f>
        <v>0</v>
      </c>
      <c r="H106" s="41">
        <f t="shared" si="24"/>
        <v>0</v>
      </c>
      <c r="I106" s="41">
        <f t="shared" si="25"/>
        <v>0</v>
      </c>
      <c r="J106" s="20"/>
    </row>
    <row r="107" spans="1:10" ht="12.75">
      <c r="A107" s="452" t="s">
        <v>15</v>
      </c>
      <c r="B107" s="434"/>
      <c r="C107" s="434"/>
      <c r="D107" s="434"/>
      <c r="E107" s="435"/>
      <c r="F107" s="58">
        <f t="shared" ref="F107:I107" si="30">SUM(F89:F106)</f>
        <v>20689.86</v>
      </c>
      <c r="G107" s="58">
        <f t="shared" si="30"/>
        <v>6.2044506399504797</v>
      </c>
      <c r="H107" s="59">
        <f t="shared" si="30"/>
        <v>0</v>
      </c>
      <c r="I107" s="59">
        <f t="shared" si="30"/>
        <v>0</v>
      </c>
      <c r="J107" s="60"/>
    </row>
    <row r="108" spans="1:10" ht="12.75">
      <c r="A108" s="454" t="s">
        <v>49</v>
      </c>
      <c r="B108" s="434"/>
      <c r="C108" s="434"/>
      <c r="D108" s="434"/>
      <c r="E108" s="434"/>
      <c r="F108" s="61"/>
      <c r="G108" s="61">
        <f>ROUND(G107,0)</f>
        <v>6</v>
      </c>
      <c r="H108" s="61"/>
      <c r="I108" s="61"/>
      <c r="J108" s="62"/>
    </row>
    <row r="109" spans="1:10" ht="12.75">
      <c r="A109" s="63"/>
      <c r="B109" s="68"/>
      <c r="C109" s="65"/>
      <c r="D109" s="70"/>
      <c r="E109" s="70"/>
      <c r="F109" s="20"/>
      <c r="G109" s="20"/>
      <c r="H109" s="20"/>
      <c r="I109" s="20"/>
      <c r="J109" s="20"/>
    </row>
    <row r="110" spans="1:10" ht="12.75">
      <c r="A110" s="460"/>
      <c r="B110" s="461"/>
      <c r="C110" s="461"/>
      <c r="D110" s="461"/>
      <c r="E110" s="461"/>
      <c r="F110" s="72"/>
      <c r="G110" s="72"/>
      <c r="H110" s="72"/>
      <c r="I110" s="72"/>
      <c r="J110" s="72"/>
    </row>
    <row r="111" spans="1:10" ht="12.75">
      <c r="A111" s="455" t="s">
        <v>55</v>
      </c>
      <c r="B111" s="456"/>
      <c r="C111" s="456"/>
      <c r="D111" s="456"/>
      <c r="E111" s="456"/>
      <c r="F111" s="456"/>
      <c r="G111" s="456"/>
      <c r="H111" s="456"/>
      <c r="I111" s="456"/>
      <c r="J111" s="11"/>
    </row>
    <row r="112" spans="1:10" ht="12.75">
      <c r="A112" s="446" t="s">
        <v>17</v>
      </c>
      <c r="B112" s="448" t="s">
        <v>2</v>
      </c>
      <c r="C112" s="452" t="s">
        <v>15</v>
      </c>
      <c r="D112" s="434"/>
      <c r="E112" s="434"/>
      <c r="F112" s="434"/>
      <c r="G112" s="434"/>
      <c r="H112" s="434"/>
      <c r="I112" s="435"/>
      <c r="J112" s="12"/>
    </row>
    <row r="113" spans="1:10" ht="12.75">
      <c r="A113" s="444"/>
      <c r="B113" s="437"/>
      <c r="C113" s="449" t="s">
        <v>18</v>
      </c>
      <c r="D113" s="450" t="s">
        <v>19</v>
      </c>
      <c r="E113" s="450" t="s">
        <v>20</v>
      </c>
      <c r="F113" s="451" t="s">
        <v>21</v>
      </c>
      <c r="G113" s="451" t="s">
        <v>22</v>
      </c>
      <c r="H113" s="453" t="s">
        <v>23</v>
      </c>
      <c r="I113" s="453" t="s">
        <v>24</v>
      </c>
      <c r="J113" s="13"/>
    </row>
    <row r="114" spans="1:10" ht="25.5" customHeight="1">
      <c r="A114" s="447"/>
      <c r="B114" s="438"/>
      <c r="C114" s="438"/>
      <c r="D114" s="429"/>
      <c r="E114" s="429"/>
      <c r="F114" s="429"/>
      <c r="G114" s="429"/>
      <c r="H114" s="438"/>
      <c r="I114" s="438"/>
      <c r="J114" s="13"/>
    </row>
    <row r="115" spans="1:10" ht="12.75">
      <c r="A115" s="443" t="s">
        <v>25</v>
      </c>
      <c r="B115" s="14" t="s">
        <v>26</v>
      </c>
      <c r="C115" s="15">
        <v>1200</v>
      </c>
      <c r="D115" s="16">
        <f t="shared" ref="D115:D116" si="31">D5</f>
        <v>0</v>
      </c>
      <c r="E115" s="17">
        <f>'A. DGES'!Q33</f>
        <v>458.74</v>
      </c>
      <c r="F115" s="457">
        <f>SUM(E115:E121)</f>
        <v>5615.54</v>
      </c>
      <c r="G115" s="18">
        <f t="shared" ref="G115:G127" si="32">E115/C115</f>
        <v>0.38228333333333336</v>
      </c>
      <c r="H115" s="19">
        <f t="shared" ref="H115:H132" si="33">D115*E115</f>
        <v>0</v>
      </c>
      <c r="I115" s="19">
        <f t="shared" ref="I115:I132" si="34">H115*30</f>
        <v>0</v>
      </c>
      <c r="J115" s="20"/>
    </row>
    <row r="116" spans="1:10" ht="12.75">
      <c r="A116" s="444"/>
      <c r="B116" s="21" t="s">
        <v>51</v>
      </c>
      <c r="C116" s="22">
        <v>1200</v>
      </c>
      <c r="D116" s="23">
        <f t="shared" si="31"/>
        <v>0</v>
      </c>
      <c r="E116" s="24">
        <f>'A. DGES'!Q34</f>
        <v>2030.46</v>
      </c>
      <c r="F116" s="437"/>
      <c r="G116" s="25">
        <f t="shared" si="32"/>
        <v>1.6920500000000001</v>
      </c>
      <c r="H116" s="26">
        <f t="shared" si="33"/>
        <v>0</v>
      </c>
      <c r="I116" s="26">
        <f t="shared" si="34"/>
        <v>0</v>
      </c>
      <c r="J116" s="20"/>
    </row>
    <row r="117" spans="1:10" ht="12.75">
      <c r="A117" s="444"/>
      <c r="B117" s="21" t="s">
        <v>30</v>
      </c>
      <c r="C117" s="27">
        <v>450</v>
      </c>
      <c r="D117" s="23">
        <f t="shared" ref="D117:D120" si="35">D9</f>
        <v>0</v>
      </c>
      <c r="E117" s="24">
        <f>'A. DGES'!Q35</f>
        <v>59.48</v>
      </c>
      <c r="F117" s="437"/>
      <c r="G117" s="25">
        <f t="shared" si="32"/>
        <v>0.13217777777777778</v>
      </c>
      <c r="H117" s="26">
        <f t="shared" si="33"/>
        <v>0</v>
      </c>
      <c r="I117" s="26">
        <f t="shared" si="34"/>
        <v>0</v>
      </c>
      <c r="J117" s="20"/>
    </row>
    <row r="118" spans="1:10" ht="12.75">
      <c r="A118" s="444"/>
      <c r="B118" s="21" t="s">
        <v>31</v>
      </c>
      <c r="C118" s="22">
        <v>2500</v>
      </c>
      <c r="D118" s="23">
        <f t="shared" si="35"/>
        <v>0</v>
      </c>
      <c r="E118" s="24">
        <f>'A. DGES'!Q36</f>
        <v>279.08999999999997</v>
      </c>
      <c r="F118" s="437"/>
      <c r="G118" s="25">
        <f t="shared" si="32"/>
        <v>0.11163599999999999</v>
      </c>
      <c r="H118" s="26">
        <f t="shared" si="33"/>
        <v>0</v>
      </c>
      <c r="I118" s="26">
        <f t="shared" si="34"/>
        <v>0</v>
      </c>
      <c r="J118" s="20"/>
    </row>
    <row r="119" spans="1:10" ht="12.75">
      <c r="A119" s="444"/>
      <c r="B119" s="21" t="s">
        <v>32</v>
      </c>
      <c r="C119" s="22">
        <v>1800</v>
      </c>
      <c r="D119" s="23">
        <f t="shared" si="35"/>
        <v>0</v>
      </c>
      <c r="E119" s="24">
        <f>'A. DGES'!Q37</f>
        <v>386.1</v>
      </c>
      <c r="F119" s="437"/>
      <c r="G119" s="25">
        <f t="shared" si="32"/>
        <v>0.21450000000000002</v>
      </c>
      <c r="H119" s="26">
        <f t="shared" si="33"/>
        <v>0</v>
      </c>
      <c r="I119" s="26">
        <f t="shared" si="34"/>
        <v>0</v>
      </c>
      <c r="J119" s="20"/>
    </row>
    <row r="120" spans="1:10" ht="12.75">
      <c r="A120" s="444"/>
      <c r="B120" s="21" t="s">
        <v>33</v>
      </c>
      <c r="C120" s="22">
        <v>1500</v>
      </c>
      <c r="D120" s="23">
        <f t="shared" si="35"/>
        <v>0</v>
      </c>
      <c r="E120" s="24">
        <f>'A. DGES'!Q38</f>
        <v>2114.9899999999998</v>
      </c>
      <c r="F120" s="437"/>
      <c r="G120" s="25">
        <f t="shared" si="32"/>
        <v>1.4099933333333332</v>
      </c>
      <c r="H120" s="26">
        <f t="shared" si="33"/>
        <v>0</v>
      </c>
      <c r="I120" s="26">
        <f t="shared" si="34"/>
        <v>0</v>
      </c>
      <c r="J120" s="20"/>
    </row>
    <row r="121" spans="1:10" ht="12.75">
      <c r="A121" s="445"/>
      <c r="B121" s="32" t="s">
        <v>53</v>
      </c>
      <c r="C121" s="33">
        <v>300</v>
      </c>
      <c r="D121" s="30">
        <f t="shared" ref="D121:D131" si="36">D14</f>
        <v>0</v>
      </c>
      <c r="E121" s="24">
        <f>'A. DGES'!Q39</f>
        <v>286.68</v>
      </c>
      <c r="F121" s="438"/>
      <c r="G121" s="36">
        <f t="shared" si="32"/>
        <v>0.9556</v>
      </c>
      <c r="H121" s="37">
        <f t="shared" si="33"/>
        <v>0</v>
      </c>
      <c r="I121" s="38">
        <f t="shared" si="34"/>
        <v>0</v>
      </c>
      <c r="J121" s="20"/>
    </row>
    <row r="122" spans="1:10" ht="12.75">
      <c r="A122" s="443" t="s">
        <v>36</v>
      </c>
      <c r="B122" s="14" t="s">
        <v>37</v>
      </c>
      <c r="C122" s="15">
        <v>2700</v>
      </c>
      <c r="D122" s="16">
        <f t="shared" si="36"/>
        <v>0</v>
      </c>
      <c r="E122" s="17">
        <f>'A. DGES'!Q40</f>
        <v>940.29</v>
      </c>
      <c r="F122" s="457">
        <f>SUM(E122:E127)</f>
        <v>16019.11</v>
      </c>
      <c r="G122" s="18">
        <f t="shared" si="32"/>
        <v>0.34825555555555554</v>
      </c>
      <c r="H122" s="19">
        <f t="shared" si="33"/>
        <v>0</v>
      </c>
      <c r="I122" s="19">
        <f t="shared" si="34"/>
        <v>0</v>
      </c>
      <c r="J122" s="20"/>
    </row>
    <row r="123" spans="1:10" ht="12.75">
      <c r="A123" s="444"/>
      <c r="B123" s="21" t="s">
        <v>38</v>
      </c>
      <c r="C123" s="22">
        <v>9000</v>
      </c>
      <c r="D123" s="23">
        <f t="shared" si="36"/>
        <v>0</v>
      </c>
      <c r="E123" s="24">
        <f>'A. DGES'!Q41</f>
        <v>7151.2</v>
      </c>
      <c r="F123" s="437"/>
      <c r="G123" s="25">
        <f t="shared" si="32"/>
        <v>0.79457777777777772</v>
      </c>
      <c r="H123" s="26">
        <f t="shared" si="33"/>
        <v>0</v>
      </c>
      <c r="I123" s="26">
        <f t="shared" si="34"/>
        <v>0</v>
      </c>
      <c r="J123" s="20"/>
    </row>
    <row r="124" spans="1:10" ht="12.75">
      <c r="A124" s="444"/>
      <c r="B124" s="21" t="s">
        <v>39</v>
      </c>
      <c r="C124" s="22">
        <v>2700</v>
      </c>
      <c r="D124" s="23">
        <f t="shared" si="36"/>
        <v>0</v>
      </c>
      <c r="E124" s="24">
        <f>'A. DGES'!Q42</f>
        <v>0</v>
      </c>
      <c r="F124" s="437"/>
      <c r="G124" s="25">
        <f t="shared" si="32"/>
        <v>0</v>
      </c>
      <c r="H124" s="26">
        <f t="shared" si="33"/>
        <v>0</v>
      </c>
      <c r="I124" s="26">
        <f t="shared" si="34"/>
        <v>0</v>
      </c>
      <c r="J124" s="20"/>
    </row>
    <row r="125" spans="1:10" ht="12.75">
      <c r="A125" s="444"/>
      <c r="B125" s="21" t="s">
        <v>40</v>
      </c>
      <c r="C125" s="22">
        <v>2700</v>
      </c>
      <c r="D125" s="23">
        <f t="shared" si="36"/>
        <v>0</v>
      </c>
      <c r="E125" s="24">
        <f>'A. DGES'!Q43</f>
        <v>0</v>
      </c>
      <c r="F125" s="437"/>
      <c r="G125" s="25">
        <f t="shared" si="32"/>
        <v>0</v>
      </c>
      <c r="H125" s="26">
        <f t="shared" si="33"/>
        <v>0</v>
      </c>
      <c r="I125" s="26">
        <f t="shared" si="34"/>
        <v>0</v>
      </c>
      <c r="J125" s="20"/>
    </row>
    <row r="126" spans="1:10" ht="12.75">
      <c r="A126" s="444"/>
      <c r="B126" s="21" t="s">
        <v>41</v>
      </c>
      <c r="C126" s="22">
        <v>2700</v>
      </c>
      <c r="D126" s="23">
        <f t="shared" si="36"/>
        <v>0</v>
      </c>
      <c r="E126" s="24">
        <f>'A. DGES'!Q44</f>
        <v>0</v>
      </c>
      <c r="F126" s="437"/>
      <c r="G126" s="25">
        <f t="shared" si="32"/>
        <v>0</v>
      </c>
      <c r="H126" s="26">
        <f t="shared" si="33"/>
        <v>0</v>
      </c>
      <c r="I126" s="26">
        <f t="shared" si="34"/>
        <v>0</v>
      </c>
      <c r="J126" s="20"/>
    </row>
    <row r="127" spans="1:10" ht="12.75">
      <c r="A127" s="445"/>
      <c r="B127" s="32" t="s">
        <v>42</v>
      </c>
      <c r="C127" s="42">
        <v>100000</v>
      </c>
      <c r="D127" s="30">
        <f t="shared" si="36"/>
        <v>0</v>
      </c>
      <c r="E127" s="24">
        <f>'A. DGES'!Q45</f>
        <v>7927.62</v>
      </c>
      <c r="F127" s="438"/>
      <c r="G127" s="36">
        <f t="shared" si="32"/>
        <v>7.9276200000000005E-2</v>
      </c>
      <c r="H127" s="37">
        <f t="shared" si="33"/>
        <v>0</v>
      </c>
      <c r="I127" s="38">
        <f t="shared" si="34"/>
        <v>0</v>
      </c>
      <c r="J127" s="20"/>
    </row>
    <row r="128" spans="1:10" ht="12.75">
      <c r="A128" s="443" t="s">
        <v>43</v>
      </c>
      <c r="B128" s="14" t="s">
        <v>44</v>
      </c>
      <c r="C128" s="15">
        <v>160</v>
      </c>
      <c r="D128" s="16">
        <f t="shared" si="36"/>
        <v>0</v>
      </c>
      <c r="E128" s="17">
        <f>'A. DGES'!Q46</f>
        <v>0</v>
      </c>
      <c r="F128" s="457">
        <f>SUM(E128:E130)</f>
        <v>1454.32</v>
      </c>
      <c r="G128" s="18">
        <f t="shared" ref="G128:G129" si="37">(E128*8)/(C128*1132.6)</f>
        <v>0</v>
      </c>
      <c r="H128" s="19">
        <f t="shared" si="33"/>
        <v>0</v>
      </c>
      <c r="I128" s="19">
        <f t="shared" si="34"/>
        <v>0</v>
      </c>
      <c r="J128" s="20"/>
    </row>
    <row r="129" spans="1:10" ht="12.75">
      <c r="A129" s="444"/>
      <c r="B129" s="21" t="s">
        <v>45</v>
      </c>
      <c r="C129" s="22">
        <v>380</v>
      </c>
      <c r="D129" s="23">
        <f t="shared" si="36"/>
        <v>0</v>
      </c>
      <c r="E129" s="24">
        <f>'A. DGES'!Q47</f>
        <v>727.16</v>
      </c>
      <c r="F129" s="437"/>
      <c r="G129" s="40">
        <f t="shared" si="37"/>
        <v>1.3516361980352613E-2</v>
      </c>
      <c r="H129" s="41">
        <f t="shared" si="33"/>
        <v>0</v>
      </c>
      <c r="I129" s="26">
        <f t="shared" si="34"/>
        <v>0</v>
      </c>
      <c r="J129" s="20"/>
    </row>
    <row r="130" spans="1:10" ht="12.75">
      <c r="A130" s="445"/>
      <c r="B130" s="32" t="s">
        <v>46</v>
      </c>
      <c r="C130" s="42">
        <v>380</v>
      </c>
      <c r="D130" s="30">
        <f t="shared" si="36"/>
        <v>0</v>
      </c>
      <c r="E130" s="31">
        <f>'A. DGES'!Q48</f>
        <v>727.16</v>
      </c>
      <c r="F130" s="438"/>
      <c r="G130" s="43">
        <f>(E130*16)/(C130*188.76)</f>
        <v>0.16220207224991912</v>
      </c>
      <c r="H130" s="44">
        <f t="shared" si="33"/>
        <v>0</v>
      </c>
      <c r="I130" s="38">
        <f t="shared" si="34"/>
        <v>0</v>
      </c>
      <c r="J130" s="20"/>
    </row>
    <row r="131" spans="1:10" ht="12.75">
      <c r="A131" s="45" t="s">
        <v>47</v>
      </c>
      <c r="B131" s="46" t="s">
        <v>47</v>
      </c>
      <c r="C131" s="47">
        <v>160</v>
      </c>
      <c r="D131" s="73">
        <f t="shared" si="36"/>
        <v>0</v>
      </c>
      <c r="E131" s="49">
        <f>'A. DGES'!Q49</f>
        <v>0</v>
      </c>
      <c r="F131" s="50">
        <f t="shared" ref="F131:F132" si="38">E131</f>
        <v>0</v>
      </c>
      <c r="G131" s="51">
        <f>(E131*8)/(C131*1132.6)</f>
        <v>0</v>
      </c>
      <c r="H131" s="52">
        <f t="shared" si="33"/>
        <v>0</v>
      </c>
      <c r="I131" s="52">
        <f t="shared" si="34"/>
        <v>0</v>
      </c>
      <c r="J131" s="20"/>
    </row>
    <row r="132" spans="1:10" ht="25.5">
      <c r="A132" s="53" t="s">
        <v>48</v>
      </c>
      <c r="B132" s="54" t="s">
        <v>48</v>
      </c>
      <c r="C132" s="55">
        <v>450</v>
      </c>
      <c r="D132" s="56">
        <v>0</v>
      </c>
      <c r="E132" s="39">
        <f>'A. DGES'!Q50</f>
        <v>0</v>
      </c>
      <c r="F132" s="57">
        <f t="shared" si="38"/>
        <v>0</v>
      </c>
      <c r="G132" s="40">
        <f>(E132*16)/(C132*188.76)</f>
        <v>0</v>
      </c>
      <c r="H132" s="41">
        <f t="shared" si="33"/>
        <v>0</v>
      </c>
      <c r="I132" s="41">
        <f t="shared" si="34"/>
        <v>0</v>
      </c>
      <c r="J132" s="20"/>
    </row>
    <row r="133" spans="1:10" ht="12.75">
      <c r="A133" s="452" t="s">
        <v>15</v>
      </c>
      <c r="B133" s="434"/>
      <c r="C133" s="434"/>
      <c r="D133" s="434"/>
      <c r="E133" s="435"/>
      <c r="F133" s="58">
        <f t="shared" ref="F133:I133" si="39">SUM(F115:F132)</f>
        <v>23088.97</v>
      </c>
      <c r="G133" s="58">
        <f t="shared" si="39"/>
        <v>6.296068412008049</v>
      </c>
      <c r="H133" s="59">
        <f t="shared" si="39"/>
        <v>0</v>
      </c>
      <c r="I133" s="59">
        <f t="shared" si="39"/>
        <v>0</v>
      </c>
      <c r="J133" s="60"/>
    </row>
    <row r="134" spans="1:10" ht="12.75">
      <c r="A134" s="454" t="s">
        <v>49</v>
      </c>
      <c r="B134" s="434"/>
      <c r="C134" s="434"/>
      <c r="D134" s="434"/>
      <c r="E134" s="434"/>
      <c r="F134" s="61"/>
      <c r="G134" s="61">
        <f>ROUND(G133,0)</f>
        <v>6</v>
      </c>
      <c r="H134" s="61"/>
      <c r="I134" s="61"/>
      <c r="J134" s="62"/>
    </row>
    <row r="135" spans="1:10" ht="12.75">
      <c r="A135" s="63"/>
      <c r="B135" s="68"/>
      <c r="C135" s="65"/>
      <c r="D135" s="70"/>
      <c r="E135" s="70"/>
      <c r="F135" s="20"/>
      <c r="G135" s="20"/>
      <c r="H135" s="20"/>
      <c r="I135" s="20"/>
      <c r="J135" s="20"/>
    </row>
    <row r="136" spans="1:10" ht="12.75">
      <c r="A136" s="63"/>
      <c r="B136" s="68"/>
      <c r="C136" s="65"/>
      <c r="D136" s="70"/>
      <c r="E136" s="70"/>
      <c r="F136" s="20"/>
      <c r="G136" s="20"/>
      <c r="H136" s="20"/>
      <c r="I136" s="20"/>
      <c r="J136" s="20"/>
    </row>
    <row r="137" spans="1:10" ht="12.75">
      <c r="A137" s="455" t="s">
        <v>56</v>
      </c>
      <c r="B137" s="456"/>
      <c r="C137" s="456"/>
      <c r="D137" s="456"/>
      <c r="E137" s="456"/>
      <c r="F137" s="456"/>
      <c r="G137" s="456"/>
      <c r="H137" s="456"/>
      <c r="I137" s="456"/>
      <c r="J137" s="11"/>
    </row>
    <row r="138" spans="1:10" ht="12.75">
      <c r="A138" s="446" t="s">
        <v>17</v>
      </c>
      <c r="B138" s="448" t="s">
        <v>2</v>
      </c>
      <c r="C138" s="452" t="s">
        <v>15</v>
      </c>
      <c r="D138" s="434"/>
      <c r="E138" s="434"/>
      <c r="F138" s="434"/>
      <c r="G138" s="434"/>
      <c r="H138" s="434"/>
      <c r="I138" s="435"/>
      <c r="J138" s="12"/>
    </row>
    <row r="139" spans="1:10" ht="12.75">
      <c r="A139" s="444"/>
      <c r="B139" s="437"/>
      <c r="C139" s="449" t="s">
        <v>18</v>
      </c>
      <c r="D139" s="450" t="s">
        <v>19</v>
      </c>
      <c r="E139" s="450" t="s">
        <v>20</v>
      </c>
      <c r="F139" s="451" t="s">
        <v>21</v>
      </c>
      <c r="G139" s="451" t="s">
        <v>22</v>
      </c>
      <c r="H139" s="453" t="s">
        <v>23</v>
      </c>
      <c r="I139" s="453" t="s">
        <v>24</v>
      </c>
      <c r="J139" s="13"/>
    </row>
    <row r="140" spans="1:10" ht="21" customHeight="1">
      <c r="A140" s="447"/>
      <c r="B140" s="438"/>
      <c r="C140" s="438"/>
      <c r="D140" s="429"/>
      <c r="E140" s="429"/>
      <c r="F140" s="429"/>
      <c r="G140" s="429"/>
      <c r="H140" s="438"/>
      <c r="I140" s="438"/>
      <c r="J140" s="13"/>
    </row>
    <row r="141" spans="1:10" ht="12.75">
      <c r="A141" s="443" t="s">
        <v>25</v>
      </c>
      <c r="B141" s="14" t="s">
        <v>26</v>
      </c>
      <c r="C141" s="15">
        <v>1200</v>
      </c>
      <c r="D141" s="16">
        <f t="shared" ref="D141:D142" si="40">D5</f>
        <v>0</v>
      </c>
      <c r="E141" s="24">
        <f>'A. DGRE'!Q28</f>
        <v>0</v>
      </c>
      <c r="F141" s="457">
        <f>SUM(E141:E147)</f>
        <v>2701</v>
      </c>
      <c r="G141" s="18">
        <f t="shared" ref="G141:G153" si="41">E141/C141</f>
        <v>0</v>
      </c>
      <c r="H141" s="19">
        <f t="shared" ref="H141:H158" si="42">D141*E141</f>
        <v>0</v>
      </c>
      <c r="I141" s="19">
        <f t="shared" ref="I141:I158" si="43">H141*30</f>
        <v>0</v>
      </c>
      <c r="J141" s="20"/>
    </row>
    <row r="142" spans="1:10" ht="12.75">
      <c r="A142" s="444"/>
      <c r="B142" s="21" t="s">
        <v>51</v>
      </c>
      <c r="C142" s="22">
        <v>1200</v>
      </c>
      <c r="D142" s="23">
        <f t="shared" si="40"/>
        <v>0</v>
      </c>
      <c r="E142" s="24">
        <f>'A. DGRE'!Q29</f>
        <v>1586.6800000000003</v>
      </c>
      <c r="F142" s="437"/>
      <c r="G142" s="25">
        <f t="shared" si="41"/>
        <v>1.3222333333333336</v>
      </c>
      <c r="H142" s="26">
        <f t="shared" si="42"/>
        <v>0</v>
      </c>
      <c r="I142" s="26">
        <f t="shared" si="43"/>
        <v>0</v>
      </c>
      <c r="J142" s="20"/>
    </row>
    <row r="143" spans="1:10" ht="12.75">
      <c r="A143" s="444"/>
      <c r="B143" s="21" t="s">
        <v>30</v>
      </c>
      <c r="C143" s="27">
        <v>450</v>
      </c>
      <c r="D143" s="23">
        <f t="shared" ref="D143:D146" si="44">D9</f>
        <v>0</v>
      </c>
      <c r="E143" s="24">
        <f>'A. DGRE'!Q30</f>
        <v>164.60999999999999</v>
      </c>
      <c r="F143" s="437"/>
      <c r="G143" s="25">
        <f t="shared" si="41"/>
        <v>0.36579999999999996</v>
      </c>
      <c r="H143" s="26">
        <f t="shared" si="42"/>
        <v>0</v>
      </c>
      <c r="I143" s="26">
        <f t="shared" si="43"/>
        <v>0</v>
      </c>
      <c r="J143" s="20"/>
    </row>
    <row r="144" spans="1:10" ht="12.75">
      <c r="A144" s="444"/>
      <c r="B144" s="21" t="s">
        <v>31</v>
      </c>
      <c r="C144" s="22">
        <v>2500</v>
      </c>
      <c r="D144" s="23">
        <f t="shared" si="44"/>
        <v>0</v>
      </c>
      <c r="E144" s="24">
        <f>'A. DGRE'!Q31</f>
        <v>49.81</v>
      </c>
      <c r="F144" s="437"/>
      <c r="G144" s="25">
        <f t="shared" si="41"/>
        <v>1.9924000000000001E-2</v>
      </c>
      <c r="H144" s="26">
        <f t="shared" si="42"/>
        <v>0</v>
      </c>
      <c r="I144" s="26">
        <f t="shared" si="43"/>
        <v>0</v>
      </c>
      <c r="J144" s="20"/>
    </row>
    <row r="145" spans="1:10" ht="12.75">
      <c r="A145" s="444"/>
      <c r="B145" s="21" t="s">
        <v>32</v>
      </c>
      <c r="C145" s="22">
        <v>1800</v>
      </c>
      <c r="D145" s="23">
        <f t="shared" si="44"/>
        <v>0</v>
      </c>
      <c r="E145" s="24">
        <f>'A. DGRE'!Q32</f>
        <v>0</v>
      </c>
      <c r="F145" s="437"/>
      <c r="G145" s="25">
        <f t="shared" si="41"/>
        <v>0</v>
      </c>
      <c r="H145" s="26">
        <f t="shared" si="42"/>
        <v>0</v>
      </c>
      <c r="I145" s="26">
        <f t="shared" si="43"/>
        <v>0</v>
      </c>
      <c r="J145" s="20"/>
    </row>
    <row r="146" spans="1:10" ht="12.75">
      <c r="A146" s="444"/>
      <c r="B146" s="21" t="s">
        <v>33</v>
      </c>
      <c r="C146" s="22">
        <v>1500</v>
      </c>
      <c r="D146" s="23">
        <f t="shared" si="44"/>
        <v>0</v>
      </c>
      <c r="E146" s="24">
        <f>'A. DGRE'!Q33</f>
        <v>774.37999999999988</v>
      </c>
      <c r="F146" s="437"/>
      <c r="G146" s="25">
        <f t="shared" si="41"/>
        <v>0.51625333333333323</v>
      </c>
      <c r="H146" s="26">
        <f t="shared" si="42"/>
        <v>0</v>
      </c>
      <c r="I146" s="26">
        <f t="shared" si="43"/>
        <v>0</v>
      </c>
      <c r="J146" s="20"/>
    </row>
    <row r="147" spans="1:10" ht="12.75">
      <c r="A147" s="445"/>
      <c r="B147" s="32" t="s">
        <v>53</v>
      </c>
      <c r="C147" s="33">
        <v>300</v>
      </c>
      <c r="D147" s="30">
        <f t="shared" ref="D147:D157" si="45">D14</f>
        <v>0</v>
      </c>
      <c r="E147" s="31">
        <f>'A. DGRE'!Q34</f>
        <v>125.52000000000001</v>
      </c>
      <c r="F147" s="438"/>
      <c r="G147" s="36">
        <f t="shared" si="41"/>
        <v>0.41840000000000005</v>
      </c>
      <c r="H147" s="37">
        <f t="shared" si="42"/>
        <v>0</v>
      </c>
      <c r="I147" s="38">
        <f t="shared" si="43"/>
        <v>0</v>
      </c>
      <c r="J147" s="20"/>
    </row>
    <row r="148" spans="1:10" ht="12.75">
      <c r="A148" s="443" t="s">
        <v>36</v>
      </c>
      <c r="B148" s="14" t="s">
        <v>37</v>
      </c>
      <c r="C148" s="15">
        <v>2700</v>
      </c>
      <c r="D148" s="16">
        <f t="shared" si="45"/>
        <v>0</v>
      </c>
      <c r="E148" s="17">
        <f>'A. DGRE'!Q35</f>
        <v>0</v>
      </c>
      <c r="F148" s="457">
        <f>SUM(E148:E153)</f>
        <v>6082.08</v>
      </c>
      <c r="G148" s="18">
        <f t="shared" si="41"/>
        <v>0</v>
      </c>
      <c r="H148" s="19">
        <f t="shared" si="42"/>
        <v>0</v>
      </c>
      <c r="I148" s="19">
        <f t="shared" si="43"/>
        <v>0</v>
      </c>
      <c r="J148" s="20"/>
    </row>
    <row r="149" spans="1:10" ht="12.75">
      <c r="A149" s="444"/>
      <c r="B149" s="21" t="s">
        <v>38</v>
      </c>
      <c r="C149" s="22">
        <v>9000</v>
      </c>
      <c r="D149" s="23">
        <f t="shared" si="45"/>
        <v>0</v>
      </c>
      <c r="E149" s="24">
        <f>'A. DGRE'!Q36</f>
        <v>1348.75</v>
      </c>
      <c r="F149" s="437"/>
      <c r="G149" s="25">
        <f t="shared" si="41"/>
        <v>0.14986111111111111</v>
      </c>
      <c r="H149" s="26">
        <f t="shared" si="42"/>
        <v>0</v>
      </c>
      <c r="I149" s="26">
        <f t="shared" si="43"/>
        <v>0</v>
      </c>
      <c r="J149" s="20"/>
    </row>
    <row r="150" spans="1:10" ht="12.75">
      <c r="A150" s="444"/>
      <c r="B150" s="21" t="s">
        <v>39</v>
      </c>
      <c r="C150" s="22">
        <v>2700</v>
      </c>
      <c r="D150" s="23">
        <f t="shared" si="45"/>
        <v>0</v>
      </c>
      <c r="E150" s="24">
        <f>'A. DGRE'!Q37</f>
        <v>1139.33</v>
      </c>
      <c r="F150" s="437"/>
      <c r="G150" s="25">
        <f t="shared" si="41"/>
        <v>0.42197407407407406</v>
      </c>
      <c r="H150" s="26">
        <f t="shared" si="42"/>
        <v>0</v>
      </c>
      <c r="I150" s="26">
        <f t="shared" si="43"/>
        <v>0</v>
      </c>
      <c r="J150" s="20"/>
    </row>
    <row r="151" spans="1:10" ht="12.75">
      <c r="A151" s="444"/>
      <c r="B151" s="21" t="s">
        <v>40</v>
      </c>
      <c r="C151" s="22">
        <v>2700</v>
      </c>
      <c r="D151" s="23">
        <f t="shared" si="45"/>
        <v>0</v>
      </c>
      <c r="E151" s="24">
        <f>'A. DGRE'!Q38</f>
        <v>0</v>
      </c>
      <c r="F151" s="437"/>
      <c r="G151" s="25">
        <f t="shared" si="41"/>
        <v>0</v>
      </c>
      <c r="H151" s="26">
        <f t="shared" si="42"/>
        <v>0</v>
      </c>
      <c r="I151" s="26">
        <f t="shared" si="43"/>
        <v>0</v>
      </c>
      <c r="J151" s="20"/>
    </row>
    <row r="152" spans="1:10" ht="12.75">
      <c r="A152" s="444"/>
      <c r="B152" s="21" t="s">
        <v>41</v>
      </c>
      <c r="C152" s="22">
        <v>2700</v>
      </c>
      <c r="D152" s="23">
        <f t="shared" si="45"/>
        <v>0</v>
      </c>
      <c r="E152" s="24">
        <f>'A. DGRE'!Q39</f>
        <v>3594</v>
      </c>
      <c r="F152" s="437"/>
      <c r="G152" s="25">
        <f t="shared" si="41"/>
        <v>1.3311111111111111</v>
      </c>
      <c r="H152" s="26">
        <f t="shared" si="42"/>
        <v>0</v>
      </c>
      <c r="I152" s="26">
        <f t="shared" si="43"/>
        <v>0</v>
      </c>
      <c r="J152" s="20"/>
    </row>
    <row r="153" spans="1:10" ht="12.75">
      <c r="A153" s="445"/>
      <c r="B153" s="32" t="s">
        <v>42</v>
      </c>
      <c r="C153" s="42">
        <v>100000</v>
      </c>
      <c r="D153" s="34">
        <f t="shared" si="45"/>
        <v>0</v>
      </c>
      <c r="E153" s="31">
        <f>'A. DGRE'!Q40</f>
        <v>0</v>
      </c>
      <c r="F153" s="438"/>
      <c r="G153" s="36">
        <f t="shared" si="41"/>
        <v>0</v>
      </c>
      <c r="H153" s="37">
        <f t="shared" si="42"/>
        <v>0</v>
      </c>
      <c r="I153" s="38">
        <f t="shared" si="43"/>
        <v>0</v>
      </c>
      <c r="J153" s="20"/>
    </row>
    <row r="154" spans="1:10" ht="12.75">
      <c r="A154" s="443" t="s">
        <v>43</v>
      </c>
      <c r="B154" s="14" t="s">
        <v>44</v>
      </c>
      <c r="C154" s="15">
        <v>160</v>
      </c>
      <c r="D154" s="56">
        <f t="shared" si="45"/>
        <v>0</v>
      </c>
      <c r="E154" s="17">
        <f>'A. DGRE'!Q41</f>
        <v>0</v>
      </c>
      <c r="F154" s="457">
        <f>SUM(E154:E156)</f>
        <v>1477.34</v>
      </c>
      <c r="G154" s="18">
        <f t="shared" ref="G154:G155" si="46">(E154*8)/(C154*1132.6)</f>
        <v>0</v>
      </c>
      <c r="H154" s="19">
        <f t="shared" si="42"/>
        <v>0</v>
      </c>
      <c r="I154" s="19">
        <f t="shared" si="43"/>
        <v>0</v>
      </c>
      <c r="J154" s="20"/>
    </row>
    <row r="155" spans="1:10" ht="12.75">
      <c r="A155" s="444"/>
      <c r="B155" s="21" t="s">
        <v>45</v>
      </c>
      <c r="C155" s="22">
        <v>380</v>
      </c>
      <c r="D155" s="23">
        <f t="shared" si="45"/>
        <v>0</v>
      </c>
      <c r="E155" s="24">
        <f>'A. DGRE'!Q42</f>
        <v>738.67</v>
      </c>
      <c r="F155" s="437"/>
      <c r="G155" s="40">
        <f t="shared" si="46"/>
        <v>1.373030846584942E-2</v>
      </c>
      <c r="H155" s="41">
        <f t="shared" si="42"/>
        <v>0</v>
      </c>
      <c r="I155" s="26">
        <f t="shared" si="43"/>
        <v>0</v>
      </c>
      <c r="J155" s="20"/>
    </row>
    <row r="156" spans="1:10" ht="12.75">
      <c r="A156" s="445"/>
      <c r="B156" s="32" t="s">
        <v>46</v>
      </c>
      <c r="C156" s="42">
        <v>380</v>
      </c>
      <c r="D156" s="30">
        <f t="shared" si="45"/>
        <v>0</v>
      </c>
      <c r="E156" s="31">
        <f>'A. DGRE'!Q43</f>
        <v>738.67</v>
      </c>
      <c r="F156" s="438"/>
      <c r="G156" s="43">
        <f>(E156*16)/(C156*188.76)</f>
        <v>0.16476952075038198</v>
      </c>
      <c r="H156" s="44">
        <f t="shared" si="42"/>
        <v>0</v>
      </c>
      <c r="I156" s="38">
        <f t="shared" si="43"/>
        <v>0</v>
      </c>
      <c r="J156" s="20"/>
    </row>
    <row r="157" spans="1:10" ht="12.75">
      <c r="A157" s="45" t="s">
        <v>47</v>
      </c>
      <c r="B157" s="46" t="s">
        <v>47</v>
      </c>
      <c r="C157" s="47">
        <v>160</v>
      </c>
      <c r="D157" s="73">
        <f t="shared" si="45"/>
        <v>0</v>
      </c>
      <c r="E157" s="49">
        <f>'A. DGRE'!Q44</f>
        <v>0</v>
      </c>
      <c r="F157" s="50">
        <f t="shared" ref="F157:F158" si="47">E157</f>
        <v>0</v>
      </c>
      <c r="G157" s="51">
        <f>(E157*8)/(C157*1132.6)</f>
        <v>0</v>
      </c>
      <c r="H157" s="52">
        <f t="shared" si="42"/>
        <v>0</v>
      </c>
      <c r="I157" s="52">
        <f t="shared" si="43"/>
        <v>0</v>
      </c>
      <c r="J157" s="20"/>
    </row>
    <row r="158" spans="1:10" ht="25.5">
      <c r="A158" s="53" t="s">
        <v>48</v>
      </c>
      <c r="B158" s="54" t="s">
        <v>48</v>
      </c>
      <c r="C158" s="55">
        <v>450</v>
      </c>
      <c r="D158" s="56">
        <v>0</v>
      </c>
      <c r="E158" s="39">
        <f>'A. DGRE'!Q45</f>
        <v>0</v>
      </c>
      <c r="F158" s="57">
        <f t="shared" si="47"/>
        <v>0</v>
      </c>
      <c r="G158" s="40">
        <f>(E158*16)/(C158*188.76)</f>
        <v>0</v>
      </c>
      <c r="H158" s="41">
        <f t="shared" si="42"/>
        <v>0</v>
      </c>
      <c r="I158" s="41">
        <f t="shared" si="43"/>
        <v>0</v>
      </c>
      <c r="J158" s="20"/>
    </row>
    <row r="159" spans="1:10" ht="12.75">
      <c r="A159" s="452" t="s">
        <v>15</v>
      </c>
      <c r="B159" s="434"/>
      <c r="C159" s="434"/>
      <c r="D159" s="434"/>
      <c r="E159" s="435"/>
      <c r="F159" s="58">
        <f t="shared" ref="F159:I159" si="48">SUM(F141:F158)</f>
        <v>10260.42</v>
      </c>
      <c r="G159" s="58">
        <f t="shared" si="48"/>
        <v>4.7240567921791943</v>
      </c>
      <c r="H159" s="59">
        <f t="shared" si="48"/>
        <v>0</v>
      </c>
      <c r="I159" s="59">
        <f t="shared" si="48"/>
        <v>0</v>
      </c>
      <c r="J159" s="60"/>
    </row>
    <row r="160" spans="1:10" ht="12.75">
      <c r="A160" s="454" t="s">
        <v>49</v>
      </c>
      <c r="B160" s="434"/>
      <c r="C160" s="434"/>
      <c r="D160" s="434"/>
      <c r="E160" s="434"/>
      <c r="F160" s="61"/>
      <c r="G160" s="61">
        <f>ROUND(G159,0)</f>
        <v>5</v>
      </c>
      <c r="H160" s="61"/>
      <c r="I160" s="61"/>
      <c r="J160" s="62"/>
    </row>
    <row r="161" spans="1:10" ht="12.75">
      <c r="A161" s="63"/>
      <c r="B161" s="68"/>
      <c r="C161" s="65"/>
      <c r="D161" s="70"/>
      <c r="E161" s="70"/>
      <c r="F161" s="20"/>
      <c r="G161" s="20"/>
      <c r="H161" s="20"/>
      <c r="I161" s="20"/>
      <c r="J161" s="20"/>
    </row>
    <row r="162" spans="1:10" ht="12.75">
      <c r="A162" s="63"/>
      <c r="B162" s="68"/>
      <c r="C162" s="65"/>
      <c r="D162" s="70"/>
      <c r="E162" s="70"/>
      <c r="F162" s="20"/>
      <c r="G162" s="20"/>
      <c r="H162" s="20"/>
      <c r="I162" s="20"/>
      <c r="J162" s="20"/>
    </row>
    <row r="163" spans="1:10" ht="12.75">
      <c r="A163" s="455" t="s">
        <v>57</v>
      </c>
      <c r="B163" s="456"/>
      <c r="C163" s="456"/>
      <c r="D163" s="456"/>
      <c r="E163" s="456"/>
      <c r="F163" s="456"/>
      <c r="G163" s="456"/>
      <c r="H163" s="456"/>
      <c r="I163" s="456"/>
      <c r="J163" s="11"/>
    </row>
    <row r="164" spans="1:10" ht="12.75">
      <c r="A164" s="446" t="s">
        <v>17</v>
      </c>
      <c r="B164" s="448" t="s">
        <v>2</v>
      </c>
      <c r="C164" s="452" t="s">
        <v>15</v>
      </c>
      <c r="D164" s="434"/>
      <c r="E164" s="434"/>
      <c r="F164" s="434"/>
      <c r="G164" s="434"/>
      <c r="H164" s="434"/>
      <c r="I164" s="435"/>
      <c r="J164" s="12"/>
    </row>
    <row r="165" spans="1:10" ht="12.75">
      <c r="A165" s="444"/>
      <c r="B165" s="437"/>
      <c r="C165" s="449" t="s">
        <v>18</v>
      </c>
      <c r="D165" s="450" t="s">
        <v>19</v>
      </c>
      <c r="E165" s="450" t="s">
        <v>20</v>
      </c>
      <c r="F165" s="451" t="s">
        <v>21</v>
      </c>
      <c r="G165" s="451" t="s">
        <v>22</v>
      </c>
      <c r="H165" s="453" t="s">
        <v>23</v>
      </c>
      <c r="I165" s="453" t="s">
        <v>24</v>
      </c>
      <c r="J165" s="13"/>
    </row>
    <row r="166" spans="1:10" ht="24.75" customHeight="1">
      <c r="A166" s="447"/>
      <c r="B166" s="438"/>
      <c r="C166" s="438"/>
      <c r="D166" s="429"/>
      <c r="E166" s="429"/>
      <c r="F166" s="429"/>
      <c r="G166" s="429"/>
      <c r="H166" s="438"/>
      <c r="I166" s="438"/>
      <c r="J166" s="13"/>
    </row>
    <row r="167" spans="1:10" ht="12.75">
      <c r="A167" s="443" t="s">
        <v>25</v>
      </c>
      <c r="B167" s="14" t="s">
        <v>26</v>
      </c>
      <c r="C167" s="15">
        <v>1200</v>
      </c>
      <c r="D167" s="16">
        <f t="shared" ref="D167:D168" si="49">D5</f>
        <v>0</v>
      </c>
      <c r="E167" s="24">
        <f>'A. DGSS'!Q28</f>
        <v>435.38000000000005</v>
      </c>
      <c r="F167" s="457">
        <f>SUM(E167:E173)</f>
        <v>7242.36</v>
      </c>
      <c r="G167" s="18">
        <f t="shared" ref="G167:G179" si="50">E167/C167</f>
        <v>0.36281666666666673</v>
      </c>
      <c r="H167" s="19">
        <f t="shared" ref="H167:H184" si="51">D167*E167</f>
        <v>0</v>
      </c>
      <c r="I167" s="19">
        <f t="shared" ref="I167:I184" si="52">H167*30</f>
        <v>0</v>
      </c>
      <c r="J167" s="20"/>
    </row>
    <row r="168" spans="1:10" ht="12.75">
      <c r="A168" s="444"/>
      <c r="B168" s="21" t="s">
        <v>51</v>
      </c>
      <c r="C168" s="22">
        <v>1200</v>
      </c>
      <c r="D168" s="23">
        <f t="shared" si="49"/>
        <v>0</v>
      </c>
      <c r="E168" s="24">
        <f>'A. DGSS'!Q29</f>
        <v>3835.05</v>
      </c>
      <c r="F168" s="437"/>
      <c r="G168" s="25">
        <f t="shared" si="50"/>
        <v>3.195875</v>
      </c>
      <c r="H168" s="26">
        <f t="shared" si="51"/>
        <v>0</v>
      </c>
      <c r="I168" s="26">
        <f t="shared" si="52"/>
        <v>0</v>
      </c>
      <c r="J168" s="20"/>
    </row>
    <row r="169" spans="1:10" ht="12.75">
      <c r="A169" s="444"/>
      <c r="B169" s="21" t="s">
        <v>30</v>
      </c>
      <c r="C169" s="27">
        <v>450</v>
      </c>
      <c r="D169" s="23">
        <f t="shared" ref="D169:D172" si="53">D9</f>
        <v>0</v>
      </c>
      <c r="E169" s="24">
        <f>'A. DGSS'!Q30</f>
        <v>59.48</v>
      </c>
      <c r="F169" s="437"/>
      <c r="G169" s="25">
        <f t="shared" si="50"/>
        <v>0.13217777777777778</v>
      </c>
      <c r="H169" s="26">
        <f t="shared" si="51"/>
        <v>0</v>
      </c>
      <c r="I169" s="26">
        <f t="shared" si="52"/>
        <v>0</v>
      </c>
      <c r="J169" s="20"/>
    </row>
    <row r="170" spans="1:10" ht="12.75">
      <c r="A170" s="444"/>
      <c r="B170" s="21" t="s">
        <v>31</v>
      </c>
      <c r="C170" s="22">
        <v>2500</v>
      </c>
      <c r="D170" s="23">
        <f t="shared" si="53"/>
        <v>0</v>
      </c>
      <c r="E170" s="24">
        <f>'A. DGSS'!Q31</f>
        <v>90.4</v>
      </c>
      <c r="F170" s="437"/>
      <c r="G170" s="25">
        <f t="shared" si="50"/>
        <v>3.6160000000000005E-2</v>
      </c>
      <c r="H170" s="26">
        <f t="shared" si="51"/>
        <v>0</v>
      </c>
      <c r="I170" s="26">
        <f t="shared" si="52"/>
        <v>0</v>
      </c>
      <c r="J170" s="20"/>
    </row>
    <row r="171" spans="1:10" ht="12.75">
      <c r="A171" s="444"/>
      <c r="B171" s="21" t="s">
        <v>32</v>
      </c>
      <c r="C171" s="22">
        <v>1800</v>
      </c>
      <c r="D171" s="23">
        <f t="shared" si="53"/>
        <v>0</v>
      </c>
      <c r="E171" s="24">
        <f>'A. DGSS'!Q32</f>
        <v>0</v>
      </c>
      <c r="F171" s="437"/>
      <c r="G171" s="25">
        <f t="shared" si="50"/>
        <v>0</v>
      </c>
      <c r="H171" s="26">
        <f t="shared" si="51"/>
        <v>0</v>
      </c>
      <c r="I171" s="26">
        <f t="shared" si="52"/>
        <v>0</v>
      </c>
      <c r="J171" s="20"/>
    </row>
    <row r="172" spans="1:10" ht="12.75">
      <c r="A172" s="444"/>
      <c r="B172" s="21" t="s">
        <v>33</v>
      </c>
      <c r="C172" s="22">
        <v>1500</v>
      </c>
      <c r="D172" s="23">
        <f t="shared" si="53"/>
        <v>0</v>
      </c>
      <c r="E172" s="24">
        <f>'A. DGSS'!Q33</f>
        <v>2496.0500000000002</v>
      </c>
      <c r="F172" s="437"/>
      <c r="G172" s="25">
        <f t="shared" si="50"/>
        <v>1.6640333333333335</v>
      </c>
      <c r="H172" s="26">
        <f t="shared" si="51"/>
        <v>0</v>
      </c>
      <c r="I172" s="26">
        <f t="shared" si="52"/>
        <v>0</v>
      </c>
      <c r="J172" s="20"/>
    </row>
    <row r="173" spans="1:10" ht="12.75">
      <c r="A173" s="445"/>
      <c r="B173" s="32" t="s">
        <v>53</v>
      </c>
      <c r="C173" s="33">
        <v>300</v>
      </c>
      <c r="D173" s="30">
        <f t="shared" ref="D173:D183" si="54">D14</f>
        <v>0</v>
      </c>
      <c r="E173" s="31">
        <f>'A. DGSS'!Q34</f>
        <v>326</v>
      </c>
      <c r="F173" s="438"/>
      <c r="G173" s="36">
        <f t="shared" si="50"/>
        <v>1.0866666666666667</v>
      </c>
      <c r="H173" s="37">
        <f t="shared" si="51"/>
        <v>0</v>
      </c>
      <c r="I173" s="38">
        <f t="shared" si="52"/>
        <v>0</v>
      </c>
      <c r="J173" s="20"/>
    </row>
    <row r="174" spans="1:10" ht="12.75">
      <c r="A174" s="443" t="s">
        <v>36</v>
      </c>
      <c r="B174" s="14" t="s">
        <v>37</v>
      </c>
      <c r="C174" s="15">
        <v>2700</v>
      </c>
      <c r="D174" s="16">
        <f t="shared" si="54"/>
        <v>0</v>
      </c>
      <c r="E174" s="17">
        <f>'A. DGSS'!Q35</f>
        <v>294.52000000000004</v>
      </c>
      <c r="F174" s="457">
        <f>SUM(E174:E179)</f>
        <v>15997.89</v>
      </c>
      <c r="G174" s="18">
        <f t="shared" si="50"/>
        <v>0.1090814814814815</v>
      </c>
      <c r="H174" s="19">
        <f t="shared" si="51"/>
        <v>0</v>
      </c>
      <c r="I174" s="19">
        <f t="shared" si="52"/>
        <v>0</v>
      </c>
      <c r="J174" s="20"/>
    </row>
    <row r="175" spans="1:10" ht="12.75">
      <c r="A175" s="444"/>
      <c r="B175" s="21" t="s">
        <v>38</v>
      </c>
      <c r="C175" s="22">
        <v>9000</v>
      </c>
      <c r="D175" s="23">
        <f t="shared" si="54"/>
        <v>0</v>
      </c>
      <c r="E175" s="24">
        <f>'A. DGSS'!Q36</f>
        <v>7775.75</v>
      </c>
      <c r="F175" s="437"/>
      <c r="G175" s="25">
        <f t="shared" si="50"/>
        <v>0.86397222222222225</v>
      </c>
      <c r="H175" s="26">
        <f t="shared" si="51"/>
        <v>0</v>
      </c>
      <c r="I175" s="26">
        <f t="shared" si="52"/>
        <v>0</v>
      </c>
      <c r="J175" s="20"/>
    </row>
    <row r="176" spans="1:10" ht="12.75">
      <c r="A176" s="444"/>
      <c r="B176" s="21" t="s">
        <v>39</v>
      </c>
      <c r="C176" s="22">
        <v>2700</v>
      </c>
      <c r="D176" s="23">
        <f t="shared" si="54"/>
        <v>0</v>
      </c>
      <c r="E176" s="24">
        <f>'A. DGSS'!Q37</f>
        <v>0</v>
      </c>
      <c r="F176" s="437"/>
      <c r="G176" s="25">
        <f t="shared" si="50"/>
        <v>0</v>
      </c>
      <c r="H176" s="26">
        <f t="shared" si="51"/>
        <v>0</v>
      </c>
      <c r="I176" s="26">
        <f t="shared" si="52"/>
        <v>0</v>
      </c>
      <c r="J176" s="20"/>
    </row>
    <row r="177" spans="1:10" ht="12.75">
      <c r="A177" s="444"/>
      <c r="B177" s="21" t="s">
        <v>40</v>
      </c>
      <c r="C177" s="22">
        <v>2700</v>
      </c>
      <c r="D177" s="23">
        <f t="shared" si="54"/>
        <v>0</v>
      </c>
      <c r="E177" s="24">
        <f>'A. DGSS'!Q38</f>
        <v>0</v>
      </c>
      <c r="F177" s="437"/>
      <c r="G177" s="25">
        <f t="shared" si="50"/>
        <v>0</v>
      </c>
      <c r="H177" s="26">
        <f t="shared" si="51"/>
        <v>0</v>
      </c>
      <c r="I177" s="26">
        <f t="shared" si="52"/>
        <v>0</v>
      </c>
      <c r="J177" s="20"/>
    </row>
    <row r="178" spans="1:10" ht="12.75">
      <c r="A178" s="444"/>
      <c r="B178" s="21" t="s">
        <v>41</v>
      </c>
      <c r="C178" s="22">
        <v>2700</v>
      </c>
      <c r="D178" s="23">
        <f t="shared" si="54"/>
        <v>0</v>
      </c>
      <c r="E178" s="24">
        <f>'A. DGSS'!Q39</f>
        <v>0</v>
      </c>
      <c r="F178" s="437"/>
      <c r="G178" s="25">
        <f t="shared" si="50"/>
        <v>0</v>
      </c>
      <c r="H178" s="26">
        <f t="shared" si="51"/>
        <v>0</v>
      </c>
      <c r="I178" s="26">
        <f t="shared" si="52"/>
        <v>0</v>
      </c>
      <c r="J178" s="20"/>
    </row>
    <row r="179" spans="1:10" ht="12.75">
      <c r="A179" s="445"/>
      <c r="B179" s="32" t="s">
        <v>42</v>
      </c>
      <c r="C179" s="42">
        <v>100000</v>
      </c>
      <c r="D179" s="30">
        <f t="shared" si="54"/>
        <v>0</v>
      </c>
      <c r="E179" s="31">
        <f>'A. DGSS'!Q40</f>
        <v>7927.62</v>
      </c>
      <c r="F179" s="438"/>
      <c r="G179" s="36">
        <f t="shared" si="50"/>
        <v>7.9276200000000005E-2</v>
      </c>
      <c r="H179" s="37">
        <f t="shared" si="51"/>
        <v>0</v>
      </c>
      <c r="I179" s="38">
        <f t="shared" si="52"/>
        <v>0</v>
      </c>
      <c r="J179" s="20"/>
    </row>
    <row r="180" spans="1:10" ht="12.75">
      <c r="A180" s="443" t="s">
        <v>43</v>
      </c>
      <c r="B180" s="14" t="s">
        <v>44</v>
      </c>
      <c r="C180" s="15">
        <v>160</v>
      </c>
      <c r="D180" s="16">
        <f t="shared" si="54"/>
        <v>0</v>
      </c>
      <c r="E180" s="17">
        <f>'A. DGSS'!Q41</f>
        <v>0</v>
      </c>
      <c r="F180" s="457">
        <f>SUM(E180:E182)</f>
        <v>739.82</v>
      </c>
      <c r="G180" s="18">
        <f t="shared" ref="G180:G181" si="55">(E180*8)/(C180*1132.6)</f>
        <v>0</v>
      </c>
      <c r="H180" s="19">
        <f t="shared" si="51"/>
        <v>0</v>
      </c>
      <c r="I180" s="19">
        <f t="shared" si="52"/>
        <v>0</v>
      </c>
      <c r="J180" s="20"/>
    </row>
    <row r="181" spans="1:10" ht="12.75">
      <c r="A181" s="444"/>
      <c r="B181" s="21" t="s">
        <v>45</v>
      </c>
      <c r="C181" s="22">
        <v>380</v>
      </c>
      <c r="D181" s="23">
        <f t="shared" si="54"/>
        <v>0</v>
      </c>
      <c r="E181" s="24">
        <f>'A. DGSS'!Q42</f>
        <v>369.91</v>
      </c>
      <c r="F181" s="437"/>
      <c r="G181" s="40">
        <f t="shared" si="55"/>
        <v>6.875842263260129E-3</v>
      </c>
      <c r="H181" s="41">
        <f t="shared" si="51"/>
        <v>0</v>
      </c>
      <c r="I181" s="26">
        <f t="shared" si="52"/>
        <v>0</v>
      </c>
      <c r="J181" s="20"/>
    </row>
    <row r="182" spans="1:10" ht="12.75">
      <c r="A182" s="445"/>
      <c r="B182" s="32" t="s">
        <v>46</v>
      </c>
      <c r="C182" s="42">
        <v>380</v>
      </c>
      <c r="D182" s="30">
        <f t="shared" si="54"/>
        <v>0</v>
      </c>
      <c r="E182" s="31">
        <f>'A. DGSS'!Q43</f>
        <v>369.91</v>
      </c>
      <c r="F182" s="438"/>
      <c r="G182" s="43">
        <f>(E182*16)/(C182*188.76)</f>
        <v>8.2513021269002132E-2</v>
      </c>
      <c r="H182" s="44">
        <f t="shared" si="51"/>
        <v>0</v>
      </c>
      <c r="I182" s="38">
        <f t="shared" si="52"/>
        <v>0</v>
      </c>
      <c r="J182" s="20"/>
    </row>
    <row r="183" spans="1:10" ht="12.75">
      <c r="A183" s="45" t="s">
        <v>47</v>
      </c>
      <c r="B183" s="46" t="s">
        <v>47</v>
      </c>
      <c r="C183" s="47">
        <v>160</v>
      </c>
      <c r="D183" s="73">
        <f t="shared" si="54"/>
        <v>0</v>
      </c>
      <c r="E183" s="49">
        <f>'A. DGSS'!Q44</f>
        <v>0</v>
      </c>
      <c r="F183" s="50">
        <f t="shared" ref="F183:F184" si="56">E183</f>
        <v>0</v>
      </c>
      <c r="G183" s="51">
        <f>(E183*8)/(C183*1132.6)</f>
        <v>0</v>
      </c>
      <c r="H183" s="52">
        <f t="shared" si="51"/>
        <v>0</v>
      </c>
      <c r="I183" s="52">
        <f t="shared" si="52"/>
        <v>0</v>
      </c>
      <c r="J183" s="20"/>
    </row>
    <row r="184" spans="1:10" ht="25.5">
      <c r="A184" s="53" t="s">
        <v>48</v>
      </c>
      <c r="B184" s="54" t="s">
        <v>48</v>
      </c>
      <c r="C184" s="55">
        <v>450</v>
      </c>
      <c r="D184" s="56">
        <v>0</v>
      </c>
      <c r="E184" s="39">
        <f>'A. DGSS'!Q45</f>
        <v>0</v>
      </c>
      <c r="F184" s="57">
        <f t="shared" si="56"/>
        <v>0</v>
      </c>
      <c r="G184" s="40">
        <f>(E184*16)/(C184*188.76)</f>
        <v>0</v>
      </c>
      <c r="H184" s="41">
        <f t="shared" si="51"/>
        <v>0</v>
      </c>
      <c r="I184" s="41">
        <f t="shared" si="52"/>
        <v>0</v>
      </c>
      <c r="J184" s="20"/>
    </row>
    <row r="185" spans="1:10" ht="12.75">
      <c r="A185" s="452" t="s">
        <v>15</v>
      </c>
      <c r="B185" s="434"/>
      <c r="C185" s="434"/>
      <c r="D185" s="434"/>
      <c r="E185" s="435"/>
      <c r="F185" s="58">
        <f t="shared" ref="F185:I185" si="57">SUM(F167:F184)</f>
        <v>23980.07</v>
      </c>
      <c r="G185" s="58">
        <f t="shared" si="57"/>
        <v>7.6194482116804103</v>
      </c>
      <c r="H185" s="59">
        <f t="shared" si="57"/>
        <v>0</v>
      </c>
      <c r="I185" s="59">
        <f t="shared" si="57"/>
        <v>0</v>
      </c>
      <c r="J185" s="60"/>
    </row>
    <row r="186" spans="1:10" ht="12.75">
      <c r="A186" s="454" t="s">
        <v>49</v>
      </c>
      <c r="B186" s="434"/>
      <c r="C186" s="434"/>
      <c r="D186" s="434"/>
      <c r="E186" s="434"/>
      <c r="F186" s="61"/>
      <c r="G186" s="61">
        <f>ROUND(G185,0)</f>
        <v>8</v>
      </c>
      <c r="H186" s="61"/>
      <c r="I186" s="61"/>
      <c r="J186" s="62"/>
    </row>
    <row r="187" spans="1:10" ht="12.75">
      <c r="A187" s="63"/>
      <c r="B187" s="68"/>
      <c r="C187" s="65"/>
      <c r="D187" s="70"/>
      <c r="E187" s="70"/>
      <c r="F187" s="20"/>
      <c r="G187" s="20"/>
      <c r="H187" s="20"/>
      <c r="I187" s="20"/>
      <c r="J187" s="20"/>
    </row>
  </sheetData>
  <mergeCells count="135">
    <mergeCell ref="A180:A182"/>
    <mergeCell ref="A185:E185"/>
    <mergeCell ref="A186:E186"/>
    <mergeCell ref="D165:D166"/>
    <mergeCell ref="E165:E166"/>
    <mergeCell ref="A167:A173"/>
    <mergeCell ref="F167:F173"/>
    <mergeCell ref="A174:A179"/>
    <mergeCell ref="F174:F179"/>
    <mergeCell ref="F180:F182"/>
    <mergeCell ref="G113:G114"/>
    <mergeCell ref="F115:F121"/>
    <mergeCell ref="F122:F127"/>
    <mergeCell ref="F128:F130"/>
    <mergeCell ref="H113:H114"/>
    <mergeCell ref="I113:I114"/>
    <mergeCell ref="A102:A104"/>
    <mergeCell ref="A107:E107"/>
    <mergeCell ref="A108:E108"/>
    <mergeCell ref="A110:E110"/>
    <mergeCell ref="A111:I111"/>
    <mergeCell ref="A112:A114"/>
    <mergeCell ref="C112:I112"/>
    <mergeCell ref="A141:A147"/>
    <mergeCell ref="B164:B166"/>
    <mergeCell ref="C165:C166"/>
    <mergeCell ref="F165:F166"/>
    <mergeCell ref="G165:G166"/>
    <mergeCell ref="H165:H166"/>
    <mergeCell ref="I165:I166"/>
    <mergeCell ref="A148:A153"/>
    <mergeCell ref="A154:A156"/>
    <mergeCell ref="A159:E159"/>
    <mergeCell ref="A160:E160"/>
    <mergeCell ref="A163:I163"/>
    <mergeCell ref="A164:A166"/>
    <mergeCell ref="C164:I164"/>
    <mergeCell ref="F141:F147"/>
    <mergeCell ref="F148:F153"/>
    <mergeCell ref="F154:F156"/>
    <mergeCell ref="A133:E133"/>
    <mergeCell ref="A134:E134"/>
    <mergeCell ref="A137:I137"/>
    <mergeCell ref="C138:I138"/>
    <mergeCell ref="A128:A130"/>
    <mergeCell ref="A138:A140"/>
    <mergeCell ref="B138:B140"/>
    <mergeCell ref="C139:C140"/>
    <mergeCell ref="D139:D140"/>
    <mergeCell ref="E139:E140"/>
    <mergeCell ref="G139:G140"/>
    <mergeCell ref="H139:H140"/>
    <mergeCell ref="I139:I140"/>
    <mergeCell ref="F139:F140"/>
    <mergeCell ref="A89:A95"/>
    <mergeCell ref="F89:F95"/>
    <mergeCell ref="A96:A101"/>
    <mergeCell ref="F96:F101"/>
    <mergeCell ref="F102:F104"/>
    <mergeCell ref="B112:B114"/>
    <mergeCell ref="C113:C114"/>
    <mergeCell ref="A115:A121"/>
    <mergeCell ref="A122:A127"/>
    <mergeCell ref="D113:D114"/>
    <mergeCell ref="E113:E114"/>
    <mergeCell ref="F113:F114"/>
    <mergeCell ref="A5:A14"/>
    <mergeCell ref="F5:F14"/>
    <mergeCell ref="A15:A20"/>
    <mergeCell ref="F15:F20"/>
    <mergeCell ref="F21:F23"/>
    <mergeCell ref="E32:E33"/>
    <mergeCell ref="F32:F33"/>
    <mergeCell ref="F34:F43"/>
    <mergeCell ref="F44:F49"/>
    <mergeCell ref="A21:A23"/>
    <mergeCell ref="A26:E26"/>
    <mergeCell ref="A27:E27"/>
    <mergeCell ref="A30:I30"/>
    <mergeCell ref="A31:A33"/>
    <mergeCell ref="B31:B33"/>
    <mergeCell ref="C31:I31"/>
    <mergeCell ref="I32:I33"/>
    <mergeCell ref="H3:H4"/>
    <mergeCell ref="I3:I4"/>
    <mergeCell ref="A1:I1"/>
    <mergeCell ref="A2:A4"/>
    <mergeCell ref="B2:B4"/>
    <mergeCell ref="C2:I2"/>
    <mergeCell ref="C3:C4"/>
    <mergeCell ref="D3:D4"/>
    <mergeCell ref="E3:E4"/>
    <mergeCell ref="F3:F4"/>
    <mergeCell ref="G3:G4"/>
    <mergeCell ref="H87:H88"/>
    <mergeCell ref="I87:I88"/>
    <mergeCell ref="A76:A78"/>
    <mergeCell ref="A81:E81"/>
    <mergeCell ref="A82:E82"/>
    <mergeCell ref="A83:E83"/>
    <mergeCell ref="A85:I85"/>
    <mergeCell ref="A86:A88"/>
    <mergeCell ref="C86:I86"/>
    <mergeCell ref="B86:B88"/>
    <mergeCell ref="C87:C88"/>
    <mergeCell ref="A63:A69"/>
    <mergeCell ref="F63:F69"/>
    <mergeCell ref="A70:A75"/>
    <mergeCell ref="F70:F75"/>
    <mergeCell ref="F76:F78"/>
    <mergeCell ref="D87:D88"/>
    <mergeCell ref="E87:E88"/>
    <mergeCell ref="F87:F88"/>
    <mergeCell ref="G87:G88"/>
    <mergeCell ref="C32:C33"/>
    <mergeCell ref="D32:D33"/>
    <mergeCell ref="A34:A43"/>
    <mergeCell ref="A44:A49"/>
    <mergeCell ref="A55:E55"/>
    <mergeCell ref="A56:E56"/>
    <mergeCell ref="A59:I59"/>
    <mergeCell ref="G61:G62"/>
    <mergeCell ref="H61:H62"/>
    <mergeCell ref="F50:F52"/>
    <mergeCell ref="G32:G33"/>
    <mergeCell ref="H32:H33"/>
    <mergeCell ref="A50:A52"/>
    <mergeCell ref="A60:A62"/>
    <mergeCell ref="B60:B62"/>
    <mergeCell ref="C61:C62"/>
    <mergeCell ref="D61:D62"/>
    <mergeCell ref="E61:E62"/>
    <mergeCell ref="F61:F62"/>
    <mergeCell ref="C60:I60"/>
    <mergeCell ref="I61:I62"/>
  </mergeCells>
  <printOptions horizontalCentered="1" gridLines="1"/>
  <pageMargins left="0.39370078740157477" right="0.39370078740157477" top="0.78740157480314954" bottom="0.78740157480314954" header="0" footer="0"/>
  <pageSetup paperSize="9" pageOrder="overThenDown" orientation="portrait" cellComments="atEnd"/>
  <headerFooter>
    <oddHeader>&amp;CANEXO I - B -  RESUMO DOS VALORES (44h Segunda à Sexta)</oddHeader>
  </headerFooter>
  <rowBreaks count="3" manualBreakCount="3">
    <brk man="1"/>
    <brk id="161" man="1"/>
    <brk id="83" man="1"/>
  </rowBreaks>
  <colBreaks count="2" manualBreakCount="2">
    <brk man="1"/>
    <brk id="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outlinePr summaryBelow="0" summaryRight="0"/>
    <pageSetUpPr fitToPage="1"/>
  </sheetPr>
  <dimension ref="A1:AD72"/>
  <sheetViews>
    <sheetView showGridLines="0" workbookViewId="0">
      <selection sqref="A1:AD1"/>
    </sheetView>
  </sheetViews>
  <sheetFormatPr defaultColWidth="14.42578125" defaultRowHeight="15" customHeight="1"/>
  <cols>
    <col min="1" max="1" width="18.7109375" customWidth="1"/>
    <col min="2" max="2" width="26.5703125" customWidth="1"/>
    <col min="3" max="3" width="21" customWidth="1"/>
    <col min="4" max="4" width="16.42578125" customWidth="1"/>
    <col min="7" max="7" width="20" customWidth="1"/>
    <col min="8" max="8" width="22.85546875" customWidth="1"/>
    <col min="9" max="9" width="16.42578125" customWidth="1"/>
    <col min="12" max="12" width="20.140625" customWidth="1"/>
    <col min="13" max="13" width="21.85546875" customWidth="1"/>
    <col min="14" max="17" width="17.140625" customWidth="1"/>
    <col min="20" max="20" width="20.140625" customWidth="1"/>
    <col min="21" max="21" width="21.5703125" customWidth="1"/>
    <col min="22" max="22" width="26.7109375" customWidth="1"/>
    <col min="23" max="24" width="16.7109375" customWidth="1"/>
    <col min="25" max="25" width="19.28515625" customWidth="1"/>
    <col min="28" max="29" width="21" customWidth="1"/>
    <col min="30" max="30" width="17" customWidth="1"/>
    <col min="31" max="31" width="4.28515625" customWidth="1"/>
  </cols>
  <sheetData>
    <row r="1" spans="1:30">
      <c r="A1" s="473" t="s">
        <v>58</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row>
    <row r="3" spans="1:30" ht="15" customHeight="1">
      <c r="A3" s="472" t="s">
        <v>59</v>
      </c>
      <c r="B3" s="461"/>
      <c r="C3" s="461"/>
      <c r="D3" s="461"/>
      <c r="F3" s="472" t="s">
        <v>60</v>
      </c>
      <c r="G3" s="461"/>
      <c r="H3" s="461"/>
      <c r="I3" s="461"/>
      <c r="K3" s="472" t="s">
        <v>61</v>
      </c>
      <c r="L3" s="461"/>
      <c r="M3" s="461"/>
      <c r="N3" s="461"/>
      <c r="O3" s="461"/>
      <c r="P3" s="461"/>
      <c r="Q3" s="461"/>
      <c r="S3" s="472" t="s">
        <v>62</v>
      </c>
      <c r="T3" s="461"/>
      <c r="U3" s="461"/>
      <c r="V3" s="461"/>
      <c r="W3" s="461"/>
      <c r="X3" s="461"/>
      <c r="Y3" s="461"/>
      <c r="AA3" s="472" t="s">
        <v>63</v>
      </c>
      <c r="AB3" s="461"/>
      <c r="AC3" s="461"/>
      <c r="AD3" s="461"/>
    </row>
    <row r="4" spans="1:30" ht="15" customHeight="1">
      <c r="A4" s="462" t="str">
        <f>'TOTAL área m² '!B5</f>
        <v>a) Pisos acarpetados.</v>
      </c>
      <c r="B4" s="434"/>
      <c r="C4" s="434"/>
      <c r="D4" s="435"/>
      <c r="F4" s="462" t="str">
        <f>'TOTAL área m² '!B15</f>
        <v>a) Pisos pavimentados adjacentes/contíguos às edificações</v>
      </c>
      <c r="G4" s="434"/>
      <c r="H4" s="434"/>
      <c r="I4" s="435"/>
      <c r="K4" s="462" t="str">
        <f>'TOTAL área m² '!B21</f>
        <v>a) face externa com exposição a situação de risco</v>
      </c>
      <c r="L4" s="434"/>
      <c r="M4" s="434"/>
      <c r="N4" s="435"/>
      <c r="O4" s="74"/>
      <c r="P4" s="74"/>
      <c r="Q4" s="74"/>
      <c r="S4" s="462" t="str">
        <f>'TOTAL área m² '!B24</f>
        <v>Fachadas Envidraçadas</v>
      </c>
      <c r="T4" s="434"/>
      <c r="U4" s="434"/>
      <c r="V4" s="434"/>
      <c r="W4" s="434"/>
      <c r="X4" s="434"/>
      <c r="Y4" s="435"/>
      <c r="AA4" s="462" t="str">
        <f>'TOTAL área m² '!B25</f>
        <v>Áreas Hospitalares e assemelhadas</v>
      </c>
      <c r="AB4" s="434"/>
      <c r="AC4" s="434"/>
      <c r="AD4" s="435"/>
    </row>
    <row r="5" spans="1:30" ht="15" customHeight="1">
      <c r="A5" s="75" t="s">
        <v>64</v>
      </c>
      <c r="B5" s="75" t="s">
        <v>65</v>
      </c>
      <c r="C5" s="76" t="s">
        <v>66</v>
      </c>
      <c r="D5" s="75" t="s">
        <v>67</v>
      </c>
      <c r="F5" s="75" t="s">
        <v>64</v>
      </c>
      <c r="G5" s="75" t="s">
        <v>65</v>
      </c>
      <c r="H5" s="76" t="s">
        <v>66</v>
      </c>
      <c r="I5" s="75" t="s">
        <v>67</v>
      </c>
      <c r="K5" s="463" t="s">
        <v>64</v>
      </c>
      <c r="L5" s="77" t="s">
        <v>68</v>
      </c>
      <c r="M5" s="77" t="s">
        <v>69</v>
      </c>
      <c r="N5" s="77" t="s">
        <v>70</v>
      </c>
      <c r="O5" s="78" t="s">
        <v>71</v>
      </c>
      <c r="P5" s="77" t="s">
        <v>72</v>
      </c>
      <c r="Q5" s="77" t="s">
        <v>73</v>
      </c>
      <c r="S5" s="463" t="s">
        <v>64</v>
      </c>
      <c r="T5" s="77" t="s">
        <v>68</v>
      </c>
      <c r="U5" s="77" t="s">
        <v>69</v>
      </c>
      <c r="V5" s="77" t="s">
        <v>70</v>
      </c>
      <c r="W5" s="78" t="s">
        <v>74</v>
      </c>
      <c r="X5" s="77" t="s">
        <v>72</v>
      </c>
      <c r="Y5" s="77" t="s">
        <v>73</v>
      </c>
      <c r="AA5" s="75" t="s">
        <v>64</v>
      </c>
      <c r="AB5" s="75" t="s">
        <v>65</v>
      </c>
      <c r="AC5" s="76" t="s">
        <v>66</v>
      </c>
      <c r="AD5" s="75" t="s">
        <v>67</v>
      </c>
    </row>
    <row r="6" spans="1:30" ht="15" customHeight="1">
      <c r="A6" s="79" t="s">
        <v>75</v>
      </c>
      <c r="B6" s="464" t="s">
        <v>76</v>
      </c>
      <c r="C6" s="434"/>
      <c r="D6" s="435"/>
      <c r="F6" s="79" t="s">
        <v>75</v>
      </c>
      <c r="G6" s="464" t="s">
        <v>76</v>
      </c>
      <c r="H6" s="434"/>
      <c r="I6" s="435"/>
      <c r="K6" s="438"/>
      <c r="L6" s="80" t="s">
        <v>77</v>
      </c>
      <c r="M6" s="80" t="s">
        <v>78</v>
      </c>
      <c r="N6" s="80" t="s">
        <v>79</v>
      </c>
      <c r="O6" s="80" t="s">
        <v>80</v>
      </c>
      <c r="P6" s="80" t="s">
        <v>81</v>
      </c>
      <c r="Q6" s="80" t="s">
        <v>82</v>
      </c>
      <c r="S6" s="438"/>
      <c r="T6" s="80" t="s">
        <v>77</v>
      </c>
      <c r="U6" s="80" t="s">
        <v>78</v>
      </c>
      <c r="V6" s="80" t="s">
        <v>79</v>
      </c>
      <c r="W6" s="80" t="s">
        <v>80</v>
      </c>
      <c r="X6" s="80" t="s">
        <v>81</v>
      </c>
      <c r="Y6" s="80" t="s">
        <v>82</v>
      </c>
      <c r="AA6" s="79" t="s">
        <v>75</v>
      </c>
      <c r="AB6" s="464" t="s">
        <v>76</v>
      </c>
      <c r="AC6" s="434"/>
      <c r="AD6" s="435"/>
    </row>
    <row r="7" spans="1:30" ht="15" customHeight="1">
      <c r="A7" s="465" t="s">
        <v>83</v>
      </c>
      <c r="B7" s="82">
        <v>1</v>
      </c>
      <c r="C7" s="466">
        <f>Servente!I131</f>
        <v>0</v>
      </c>
      <c r="D7" s="466">
        <f>(B7/B8)*C7</f>
        <v>0</v>
      </c>
      <c r="F7" s="465" t="s">
        <v>83</v>
      </c>
      <c r="G7" s="82">
        <v>1</v>
      </c>
      <c r="H7" s="466">
        <f>Servente!I131</f>
        <v>0</v>
      </c>
      <c r="I7" s="466">
        <f>(G7/G8)*H7</f>
        <v>0</v>
      </c>
      <c r="K7" s="79" t="s">
        <v>75</v>
      </c>
      <c r="L7" s="464" t="s">
        <v>76</v>
      </c>
      <c r="M7" s="434"/>
      <c r="N7" s="434"/>
      <c r="O7" s="434"/>
      <c r="P7" s="434"/>
      <c r="Q7" s="435"/>
      <c r="S7" s="79" t="s">
        <v>75</v>
      </c>
      <c r="T7" s="464" t="s">
        <v>76</v>
      </c>
      <c r="U7" s="434"/>
      <c r="V7" s="434"/>
      <c r="W7" s="434"/>
      <c r="X7" s="434"/>
      <c r="Y7" s="435"/>
      <c r="AA7" s="465" t="s">
        <v>83</v>
      </c>
      <c r="AB7" s="82">
        <v>1</v>
      </c>
      <c r="AC7" s="466">
        <f>Servente!I131</f>
        <v>0</v>
      </c>
      <c r="AD7" s="466">
        <f>(AB7/AB8)*AC7</f>
        <v>0</v>
      </c>
    </row>
    <row r="8" spans="1:30" ht="15" customHeight="1">
      <c r="A8" s="438"/>
      <c r="B8" s="83">
        <v>1200</v>
      </c>
      <c r="C8" s="438"/>
      <c r="D8" s="438"/>
      <c r="F8" s="438"/>
      <c r="G8" s="83">
        <v>2700</v>
      </c>
      <c r="H8" s="438"/>
      <c r="I8" s="438"/>
      <c r="K8" s="465" t="s">
        <v>83</v>
      </c>
      <c r="L8" s="84">
        <v>1</v>
      </c>
      <c r="M8" s="467">
        <v>8</v>
      </c>
      <c r="N8" s="84">
        <v>1</v>
      </c>
      <c r="O8" s="468">
        <f>(L8/L9)*M8*(N8/N9)</f>
        <v>4.4146212254988529E-5</v>
      </c>
      <c r="P8" s="469">
        <f>JAUZEIRO!I131</f>
        <v>0</v>
      </c>
      <c r="Q8" s="469">
        <f>O8*P8</f>
        <v>0</v>
      </c>
      <c r="S8" s="465" t="s">
        <v>84</v>
      </c>
      <c r="T8" s="84">
        <v>1</v>
      </c>
      <c r="U8" s="467">
        <v>8</v>
      </c>
      <c r="V8" s="84">
        <v>1</v>
      </c>
      <c r="W8" s="468">
        <f>(T8/T9)*U8*(V8/V9)</f>
        <v>4.4146212254988529E-5</v>
      </c>
      <c r="X8" s="469">
        <f>JAUZEIRO!I131</f>
        <v>0</v>
      </c>
      <c r="Y8" s="469">
        <f>W8*X8</f>
        <v>0</v>
      </c>
      <c r="AA8" s="438"/>
      <c r="AB8" s="83">
        <v>450</v>
      </c>
      <c r="AC8" s="438"/>
      <c r="AD8" s="438"/>
    </row>
    <row r="9" spans="1:30" ht="15" customHeight="1">
      <c r="A9" s="470" t="s">
        <v>85</v>
      </c>
      <c r="B9" s="434"/>
      <c r="C9" s="435"/>
      <c r="D9" s="85">
        <f>SUM(D6:D7)</f>
        <v>0</v>
      </c>
      <c r="F9" s="470" t="s">
        <v>85</v>
      </c>
      <c r="G9" s="434"/>
      <c r="H9" s="435"/>
      <c r="I9" s="85">
        <f>SUM(I6:I7)</f>
        <v>0</v>
      </c>
      <c r="K9" s="438"/>
      <c r="L9" s="86">
        <v>160</v>
      </c>
      <c r="M9" s="438"/>
      <c r="N9" s="87">
        <v>1132.5999999999999</v>
      </c>
      <c r="O9" s="438"/>
      <c r="P9" s="438"/>
      <c r="Q9" s="438"/>
      <c r="S9" s="438"/>
      <c r="T9" s="86">
        <v>160</v>
      </c>
      <c r="U9" s="438"/>
      <c r="V9" s="87">
        <v>1132.5999999999999</v>
      </c>
      <c r="W9" s="438"/>
      <c r="X9" s="438"/>
      <c r="Y9" s="438"/>
      <c r="AA9" s="470" t="s">
        <v>85</v>
      </c>
      <c r="AB9" s="434"/>
      <c r="AC9" s="435"/>
      <c r="AD9" s="85">
        <f>SUM(AD6:AD7)</f>
        <v>0</v>
      </c>
    </row>
    <row r="10" spans="1:30" ht="15" customHeight="1">
      <c r="A10" s="88"/>
      <c r="F10" s="88"/>
      <c r="K10" s="470" t="s">
        <v>85</v>
      </c>
      <c r="L10" s="434"/>
      <c r="M10" s="434"/>
      <c r="N10" s="434"/>
      <c r="O10" s="434"/>
      <c r="P10" s="435"/>
      <c r="Q10" s="89">
        <f>Q8</f>
        <v>0</v>
      </c>
      <c r="S10" s="470" t="s">
        <v>85</v>
      </c>
      <c r="T10" s="434"/>
      <c r="U10" s="434"/>
      <c r="V10" s="434"/>
      <c r="W10" s="434"/>
      <c r="X10" s="435"/>
      <c r="Y10" s="89">
        <f>Y8</f>
        <v>0</v>
      </c>
    </row>
    <row r="11" spans="1:30" ht="15" customHeight="1">
      <c r="A11" s="471" t="str">
        <f>'TOTAL área m² '!B6</f>
        <v>b.1) Pisos frios</v>
      </c>
      <c r="B11" s="434"/>
      <c r="C11" s="434"/>
      <c r="D11" s="435"/>
      <c r="F11" s="471" t="str">
        <f>'TOTAL área m² '!B16</f>
        <v>b) Varrição de passeios e arruamentos</v>
      </c>
      <c r="G11" s="434"/>
      <c r="H11" s="434"/>
      <c r="I11" s="435"/>
      <c r="K11" s="471" t="str">
        <f>'TOTAL área m² '!B22</f>
        <v>b) face externa sem exposição a situação de risco</v>
      </c>
      <c r="L11" s="434"/>
      <c r="M11" s="434"/>
      <c r="N11" s="435"/>
      <c r="O11" s="90"/>
      <c r="P11" s="90"/>
      <c r="Q11" s="90"/>
    </row>
    <row r="12" spans="1:30" ht="15" customHeight="1">
      <c r="A12" s="75" t="s">
        <v>64</v>
      </c>
      <c r="B12" s="75" t="s">
        <v>65</v>
      </c>
      <c r="C12" s="76" t="s">
        <v>66</v>
      </c>
      <c r="D12" s="75" t="s">
        <v>67</v>
      </c>
      <c r="F12" s="75" t="s">
        <v>64</v>
      </c>
      <c r="G12" s="75" t="s">
        <v>65</v>
      </c>
      <c r="H12" s="76" t="s">
        <v>66</v>
      </c>
      <c r="I12" s="75" t="s">
        <v>67</v>
      </c>
      <c r="K12" s="463" t="s">
        <v>64</v>
      </c>
      <c r="L12" s="77" t="s">
        <v>68</v>
      </c>
      <c r="M12" s="77" t="s">
        <v>69</v>
      </c>
      <c r="N12" s="77" t="s">
        <v>70</v>
      </c>
      <c r="O12" s="78" t="s">
        <v>71</v>
      </c>
      <c r="P12" s="77" t="s">
        <v>72</v>
      </c>
      <c r="Q12" s="77" t="s">
        <v>73</v>
      </c>
    </row>
    <row r="13" spans="1:30" ht="15" customHeight="1">
      <c r="A13" s="79" t="s">
        <v>75</v>
      </c>
      <c r="B13" s="464" t="s">
        <v>76</v>
      </c>
      <c r="C13" s="434"/>
      <c r="D13" s="435"/>
      <c r="F13" s="79" t="s">
        <v>75</v>
      </c>
      <c r="G13" s="464" t="s">
        <v>76</v>
      </c>
      <c r="H13" s="434"/>
      <c r="I13" s="435"/>
      <c r="K13" s="438"/>
      <c r="L13" s="80" t="s">
        <v>77</v>
      </c>
      <c r="M13" s="80" t="s">
        <v>78</v>
      </c>
      <c r="N13" s="80" t="s">
        <v>79</v>
      </c>
      <c r="O13" s="80" t="s">
        <v>80</v>
      </c>
      <c r="P13" s="80" t="s">
        <v>81</v>
      </c>
      <c r="Q13" s="80" t="s">
        <v>82</v>
      </c>
    </row>
    <row r="14" spans="1:30" ht="15" customHeight="1">
      <c r="A14" s="465" t="s">
        <v>83</v>
      </c>
      <c r="B14" s="82">
        <v>1</v>
      </c>
      <c r="C14" s="466">
        <f>Servente!I131</f>
        <v>0</v>
      </c>
      <c r="D14" s="466">
        <f>(B14/B15)*C14</f>
        <v>0</v>
      </c>
      <c r="F14" s="465" t="s">
        <v>83</v>
      </c>
      <c r="G14" s="82">
        <v>1</v>
      </c>
      <c r="H14" s="466">
        <f>Servente!I131</f>
        <v>0</v>
      </c>
      <c r="I14" s="466">
        <f>(G14/G15)*H14</f>
        <v>0</v>
      </c>
      <c r="K14" s="79" t="s">
        <v>75</v>
      </c>
      <c r="L14" s="464" t="s">
        <v>76</v>
      </c>
      <c r="M14" s="434"/>
      <c r="N14" s="434"/>
      <c r="O14" s="434"/>
      <c r="P14" s="434"/>
      <c r="Q14" s="435"/>
    </row>
    <row r="15" spans="1:30" ht="15" customHeight="1">
      <c r="A15" s="438"/>
      <c r="B15" s="83">
        <v>1200</v>
      </c>
      <c r="C15" s="438"/>
      <c r="D15" s="438"/>
      <c r="F15" s="438"/>
      <c r="G15" s="83">
        <v>9000</v>
      </c>
      <c r="H15" s="438"/>
      <c r="I15" s="438"/>
      <c r="K15" s="465" t="s">
        <v>83</v>
      </c>
      <c r="L15" s="84">
        <v>1</v>
      </c>
      <c r="M15" s="467">
        <v>8</v>
      </c>
      <c r="N15" s="84">
        <v>1</v>
      </c>
      <c r="O15" s="468">
        <f>(L15/L16)*M15*(N15/N16)</f>
        <v>1.8587878844205695E-5</v>
      </c>
      <c r="P15" s="469">
        <f>Servente!I131</f>
        <v>0</v>
      </c>
      <c r="Q15" s="469">
        <f>O15*P15</f>
        <v>0</v>
      </c>
    </row>
    <row r="16" spans="1:30" ht="15" customHeight="1">
      <c r="A16" s="470" t="s">
        <v>85</v>
      </c>
      <c r="B16" s="434"/>
      <c r="C16" s="435"/>
      <c r="D16" s="85">
        <f>SUM(D13:D14)</f>
        <v>0</v>
      </c>
      <c r="F16" s="470" t="s">
        <v>85</v>
      </c>
      <c r="G16" s="434"/>
      <c r="H16" s="435"/>
      <c r="I16" s="85">
        <f>SUM(I13:I14)</f>
        <v>0</v>
      </c>
      <c r="K16" s="438"/>
      <c r="L16" s="86">
        <v>380</v>
      </c>
      <c r="M16" s="438"/>
      <c r="N16" s="87">
        <v>1132.5999999999999</v>
      </c>
      <c r="O16" s="438"/>
      <c r="P16" s="438"/>
      <c r="Q16" s="438"/>
    </row>
    <row r="17" spans="1:17" ht="15" customHeight="1">
      <c r="K17" s="470" t="s">
        <v>85</v>
      </c>
      <c r="L17" s="434"/>
      <c r="M17" s="434"/>
      <c r="N17" s="434"/>
      <c r="O17" s="434"/>
      <c r="P17" s="435"/>
      <c r="Q17" s="89">
        <f>Q15</f>
        <v>0</v>
      </c>
    </row>
    <row r="18" spans="1:17" ht="15" customHeight="1">
      <c r="A18" s="471" t="str">
        <f>'TOTAL área m² '!B9</f>
        <v>c) Laboratórios</v>
      </c>
      <c r="B18" s="434"/>
      <c r="C18" s="434"/>
      <c r="D18" s="435"/>
      <c r="F18" s="471" t="str">
        <f>'TOTAL área m² '!B17</f>
        <v>c) Pátios e áreas verdes com alta frequência</v>
      </c>
      <c r="G18" s="434"/>
      <c r="H18" s="434"/>
      <c r="I18" s="435"/>
      <c r="K18" s="471" t="str">
        <f>'TOTAL área m² '!B23</f>
        <v>c) face interna</v>
      </c>
      <c r="L18" s="434"/>
      <c r="M18" s="434"/>
      <c r="N18" s="435"/>
      <c r="O18" s="90"/>
      <c r="P18" s="90"/>
      <c r="Q18" s="90"/>
    </row>
    <row r="19" spans="1:17" ht="15" customHeight="1">
      <c r="A19" s="75" t="s">
        <v>64</v>
      </c>
      <c r="B19" s="75" t="s">
        <v>65</v>
      </c>
      <c r="C19" s="76" t="s">
        <v>66</v>
      </c>
      <c r="D19" s="75" t="s">
        <v>67</v>
      </c>
      <c r="F19" s="75" t="s">
        <v>64</v>
      </c>
      <c r="G19" s="75" t="s">
        <v>65</v>
      </c>
      <c r="H19" s="76" t="s">
        <v>66</v>
      </c>
      <c r="I19" s="75" t="s">
        <v>67</v>
      </c>
      <c r="K19" s="463" t="s">
        <v>64</v>
      </c>
      <c r="L19" s="77" t="s">
        <v>68</v>
      </c>
      <c r="M19" s="77" t="s">
        <v>86</v>
      </c>
      <c r="N19" s="77" t="s">
        <v>87</v>
      </c>
      <c r="O19" s="78" t="s">
        <v>71</v>
      </c>
      <c r="P19" s="77" t="s">
        <v>72</v>
      </c>
      <c r="Q19" s="77" t="s">
        <v>73</v>
      </c>
    </row>
    <row r="20" spans="1:17" ht="15" customHeight="1">
      <c r="A20" s="79" t="s">
        <v>75</v>
      </c>
      <c r="B20" s="464" t="s">
        <v>76</v>
      </c>
      <c r="C20" s="434"/>
      <c r="D20" s="435"/>
      <c r="F20" s="79" t="s">
        <v>75</v>
      </c>
      <c r="G20" s="464" t="s">
        <v>76</v>
      </c>
      <c r="H20" s="434"/>
      <c r="I20" s="435"/>
      <c r="K20" s="438"/>
      <c r="L20" s="80" t="s">
        <v>77</v>
      </c>
      <c r="M20" s="80" t="s">
        <v>78</v>
      </c>
      <c r="N20" s="80" t="s">
        <v>79</v>
      </c>
      <c r="O20" s="80" t="s">
        <v>80</v>
      </c>
      <c r="P20" s="80" t="s">
        <v>81</v>
      </c>
      <c r="Q20" s="80" t="s">
        <v>82</v>
      </c>
    </row>
    <row r="21" spans="1:17" ht="15" customHeight="1">
      <c r="A21" s="465" t="s">
        <v>83</v>
      </c>
      <c r="B21" s="82">
        <v>1</v>
      </c>
      <c r="C21" s="466">
        <f>Servente!I131</f>
        <v>0</v>
      </c>
      <c r="D21" s="466">
        <f>(B21/B22)*C21</f>
        <v>0</v>
      </c>
      <c r="F21" s="465" t="s">
        <v>83</v>
      </c>
      <c r="G21" s="82">
        <v>1</v>
      </c>
      <c r="H21" s="466">
        <f>Servente!I131</f>
        <v>0</v>
      </c>
      <c r="I21" s="466">
        <f>(G21/G22)*H21</f>
        <v>0</v>
      </c>
      <c r="K21" s="79" t="s">
        <v>75</v>
      </c>
      <c r="L21" s="464" t="s">
        <v>76</v>
      </c>
      <c r="M21" s="434"/>
      <c r="N21" s="434"/>
      <c r="O21" s="434"/>
      <c r="P21" s="434"/>
      <c r="Q21" s="435"/>
    </row>
    <row r="22" spans="1:17" ht="15" customHeight="1">
      <c r="A22" s="438"/>
      <c r="B22" s="83">
        <v>450</v>
      </c>
      <c r="C22" s="438"/>
      <c r="D22" s="438"/>
      <c r="F22" s="438"/>
      <c r="G22" s="83">
        <v>2700</v>
      </c>
      <c r="H22" s="438"/>
      <c r="I22" s="438"/>
      <c r="K22" s="465" t="s">
        <v>83</v>
      </c>
      <c r="L22" s="84">
        <v>1</v>
      </c>
      <c r="M22" s="467">
        <v>16</v>
      </c>
      <c r="N22" s="84">
        <v>1</v>
      </c>
      <c r="O22" s="468">
        <f>(L22/L23)*M22*(N22/N23)</f>
        <v>2.2306242401936183E-4</v>
      </c>
      <c r="P22" s="469">
        <f>Servente!I131</f>
        <v>0</v>
      </c>
      <c r="Q22" s="469">
        <f>O22*P22</f>
        <v>0</v>
      </c>
    </row>
    <row r="23" spans="1:17" ht="15" customHeight="1">
      <c r="A23" s="470" t="s">
        <v>85</v>
      </c>
      <c r="B23" s="434"/>
      <c r="C23" s="435"/>
      <c r="D23" s="85">
        <f>SUM(D20:D21)</f>
        <v>0</v>
      </c>
      <c r="F23" s="470" t="s">
        <v>85</v>
      </c>
      <c r="G23" s="434"/>
      <c r="H23" s="435"/>
      <c r="I23" s="85">
        <f>SUM(I20:I21)</f>
        <v>0</v>
      </c>
      <c r="K23" s="438"/>
      <c r="L23" s="86">
        <v>380</v>
      </c>
      <c r="M23" s="438"/>
      <c r="N23" s="87">
        <v>188.76</v>
      </c>
      <c r="O23" s="438"/>
      <c r="P23" s="438"/>
      <c r="Q23" s="438"/>
    </row>
    <row r="24" spans="1:17" ht="15" customHeight="1">
      <c r="K24" s="470" t="s">
        <v>85</v>
      </c>
      <c r="L24" s="434"/>
      <c r="M24" s="434"/>
      <c r="N24" s="434"/>
      <c r="O24" s="434"/>
      <c r="P24" s="435"/>
      <c r="Q24" s="89">
        <f>Q22</f>
        <v>0</v>
      </c>
    </row>
    <row r="25" spans="1:17" ht="15" customHeight="1">
      <c r="A25" s="471" t="str">
        <f>'TOTAL área m² '!B10</f>
        <v>d) Almoxarifados/galpões</v>
      </c>
      <c r="B25" s="434"/>
      <c r="C25" s="434"/>
      <c r="D25" s="435"/>
      <c r="F25" s="471" t="str">
        <f>'TOTAL área m² '!B18</f>
        <v>d) Pátios e áreas verdes com média frequência</v>
      </c>
      <c r="G25" s="434"/>
      <c r="H25" s="434"/>
      <c r="I25" s="435"/>
    </row>
    <row r="26" spans="1:17" ht="15" customHeight="1">
      <c r="A26" s="75" t="s">
        <v>64</v>
      </c>
      <c r="B26" s="75" t="s">
        <v>65</v>
      </c>
      <c r="C26" s="76" t="s">
        <v>66</v>
      </c>
      <c r="D26" s="75" t="s">
        <v>67</v>
      </c>
      <c r="F26" s="75" t="s">
        <v>64</v>
      </c>
      <c r="G26" s="75" t="s">
        <v>65</v>
      </c>
      <c r="H26" s="76" t="s">
        <v>66</v>
      </c>
      <c r="I26" s="75" t="s">
        <v>67</v>
      </c>
    </row>
    <row r="27" spans="1:17" ht="15" customHeight="1">
      <c r="A27" s="79" t="s">
        <v>75</v>
      </c>
      <c r="B27" s="464" t="s">
        <v>76</v>
      </c>
      <c r="C27" s="434"/>
      <c r="D27" s="435"/>
      <c r="F27" s="79" t="s">
        <v>75</v>
      </c>
      <c r="G27" s="464" t="s">
        <v>76</v>
      </c>
      <c r="H27" s="434"/>
      <c r="I27" s="435"/>
    </row>
    <row r="28" spans="1:17" ht="15" customHeight="1">
      <c r="A28" s="465" t="s">
        <v>83</v>
      </c>
      <c r="B28" s="82">
        <v>1</v>
      </c>
      <c r="C28" s="466">
        <f>Servente!I131</f>
        <v>0</v>
      </c>
      <c r="D28" s="466">
        <f>(B28/B29)*C28</f>
        <v>0</v>
      </c>
      <c r="F28" s="465" t="s">
        <v>83</v>
      </c>
      <c r="G28" s="82">
        <v>1</v>
      </c>
      <c r="H28" s="466">
        <f>Servente!I131</f>
        <v>0</v>
      </c>
      <c r="I28" s="466">
        <f>(G28/G29)*H28</f>
        <v>0</v>
      </c>
    </row>
    <row r="29" spans="1:17" ht="15" customHeight="1">
      <c r="A29" s="438"/>
      <c r="B29" s="83">
        <v>2500</v>
      </c>
      <c r="C29" s="438"/>
      <c r="D29" s="438"/>
      <c r="F29" s="438"/>
      <c r="G29" s="83">
        <v>2700</v>
      </c>
      <c r="H29" s="438"/>
      <c r="I29" s="438"/>
    </row>
    <row r="30" spans="1:17" ht="15" customHeight="1">
      <c r="A30" s="470" t="s">
        <v>85</v>
      </c>
      <c r="B30" s="434"/>
      <c r="C30" s="435"/>
      <c r="D30" s="85">
        <f>SUM(D27:D28)</f>
        <v>0</v>
      </c>
      <c r="F30" s="470" t="s">
        <v>85</v>
      </c>
      <c r="G30" s="434"/>
      <c r="H30" s="435"/>
      <c r="I30" s="85">
        <f>SUM(I27:I28)</f>
        <v>0</v>
      </c>
    </row>
    <row r="32" spans="1:17" ht="15" customHeight="1">
      <c r="A32" s="471" t="str">
        <f>'TOTAL área m² '!B11</f>
        <v>e) Oficinas</v>
      </c>
      <c r="B32" s="434"/>
      <c r="C32" s="434"/>
      <c r="D32" s="435"/>
      <c r="F32" s="471" t="str">
        <f>'TOTAL área m² '!B19</f>
        <v>e) Pátios e áreas verdes com baixa frequência</v>
      </c>
      <c r="G32" s="434"/>
      <c r="H32" s="434"/>
      <c r="I32" s="435"/>
    </row>
    <row r="33" spans="1:9" ht="15" customHeight="1">
      <c r="A33" s="75" t="s">
        <v>64</v>
      </c>
      <c r="B33" s="75" t="s">
        <v>65</v>
      </c>
      <c r="C33" s="76" t="s">
        <v>66</v>
      </c>
      <c r="D33" s="75" t="s">
        <v>67</v>
      </c>
      <c r="F33" s="75" t="s">
        <v>64</v>
      </c>
      <c r="G33" s="75" t="s">
        <v>65</v>
      </c>
      <c r="H33" s="76" t="s">
        <v>66</v>
      </c>
      <c r="I33" s="75" t="s">
        <v>67</v>
      </c>
    </row>
    <row r="34" spans="1:9" ht="15" customHeight="1">
      <c r="A34" s="79" t="s">
        <v>75</v>
      </c>
      <c r="B34" s="464" t="s">
        <v>76</v>
      </c>
      <c r="C34" s="434"/>
      <c r="D34" s="435"/>
      <c r="F34" s="79" t="s">
        <v>75</v>
      </c>
      <c r="G34" s="464" t="s">
        <v>76</v>
      </c>
      <c r="H34" s="434"/>
      <c r="I34" s="435"/>
    </row>
    <row r="35" spans="1:9" ht="15" customHeight="1">
      <c r="A35" s="465" t="s">
        <v>83</v>
      </c>
      <c r="B35" s="82">
        <v>1</v>
      </c>
      <c r="C35" s="466">
        <f>Servente!I131</f>
        <v>0</v>
      </c>
      <c r="D35" s="466">
        <f>(B35/B36)*C35</f>
        <v>0</v>
      </c>
      <c r="F35" s="465" t="s">
        <v>83</v>
      </c>
      <c r="G35" s="82">
        <v>1</v>
      </c>
      <c r="H35" s="466">
        <f>Servente!I131</f>
        <v>0</v>
      </c>
      <c r="I35" s="466">
        <f>(G35/G36)*H35</f>
        <v>0</v>
      </c>
    </row>
    <row r="36" spans="1:9" ht="15" customHeight="1">
      <c r="A36" s="438"/>
      <c r="B36" s="83">
        <v>1800</v>
      </c>
      <c r="C36" s="438"/>
      <c r="D36" s="438"/>
      <c r="F36" s="438"/>
      <c r="G36" s="83">
        <v>2700</v>
      </c>
      <c r="H36" s="438"/>
      <c r="I36" s="438"/>
    </row>
    <row r="37" spans="1:9" ht="15" customHeight="1">
      <c r="A37" s="470" t="s">
        <v>85</v>
      </c>
      <c r="B37" s="434"/>
      <c r="C37" s="435"/>
      <c r="D37" s="85">
        <f>SUM(D34:D35)</f>
        <v>0</v>
      </c>
      <c r="F37" s="470" t="s">
        <v>85</v>
      </c>
      <c r="G37" s="434"/>
      <c r="H37" s="435"/>
      <c r="I37" s="85">
        <f>SUM(I34:I35)</f>
        <v>0</v>
      </c>
    </row>
    <row r="39" spans="1:9" ht="15" customHeight="1">
      <c r="A39" s="471" t="str">
        <f>'TOTAL área m² '!B12</f>
        <v>f) Áreas com espaços livres - saguão, hall e salão</v>
      </c>
      <c r="B39" s="434"/>
      <c r="C39" s="434"/>
      <c r="D39" s="435"/>
      <c r="F39" s="471" t="str">
        <f>'TOTAL área m² '!B20</f>
        <v>f) coleta de detritos em pátios e áreas verdes com frequência diária</v>
      </c>
      <c r="G39" s="434"/>
      <c r="H39" s="434"/>
      <c r="I39" s="435"/>
    </row>
    <row r="40" spans="1:9" ht="12.75">
      <c r="A40" s="75" t="s">
        <v>64</v>
      </c>
      <c r="B40" s="75" t="s">
        <v>65</v>
      </c>
      <c r="C40" s="76" t="s">
        <v>66</v>
      </c>
      <c r="D40" s="75" t="s">
        <v>67</v>
      </c>
      <c r="F40" s="75" t="s">
        <v>64</v>
      </c>
      <c r="G40" s="75" t="s">
        <v>65</v>
      </c>
      <c r="H40" s="76" t="s">
        <v>66</v>
      </c>
      <c r="I40" s="75" t="s">
        <v>67</v>
      </c>
    </row>
    <row r="41" spans="1:9" ht="12.75">
      <c r="A41" s="79" t="s">
        <v>75</v>
      </c>
      <c r="B41" s="464" t="s">
        <v>76</v>
      </c>
      <c r="C41" s="434"/>
      <c r="D41" s="435"/>
      <c r="F41" s="79" t="s">
        <v>75</v>
      </c>
      <c r="G41" s="464" t="s">
        <v>76</v>
      </c>
      <c r="H41" s="434"/>
      <c r="I41" s="435"/>
    </row>
    <row r="42" spans="1:9" ht="12.75">
      <c r="A42" s="465" t="s">
        <v>83</v>
      </c>
      <c r="B42" s="82">
        <v>1</v>
      </c>
      <c r="C42" s="466">
        <f>Servente!I131</f>
        <v>0</v>
      </c>
      <c r="D42" s="466">
        <f>(B42/B43)*C42</f>
        <v>0</v>
      </c>
      <c r="F42" s="465" t="s">
        <v>83</v>
      </c>
      <c r="G42" s="82">
        <v>1</v>
      </c>
      <c r="H42" s="466">
        <f>Servente!I131</f>
        <v>0</v>
      </c>
      <c r="I42" s="466">
        <f>(G42/G43)*H42</f>
        <v>0</v>
      </c>
    </row>
    <row r="43" spans="1:9" ht="12.75">
      <c r="A43" s="438"/>
      <c r="B43" s="83">
        <v>1500</v>
      </c>
      <c r="C43" s="438"/>
      <c r="D43" s="438"/>
      <c r="F43" s="438"/>
      <c r="G43" s="83">
        <v>100000</v>
      </c>
      <c r="H43" s="438"/>
      <c r="I43" s="438"/>
    </row>
    <row r="44" spans="1:9" ht="12.75">
      <c r="A44" s="470" t="s">
        <v>85</v>
      </c>
      <c r="B44" s="434"/>
      <c r="C44" s="435"/>
      <c r="D44" s="85">
        <f>SUM(D41:D42)</f>
        <v>0</v>
      </c>
      <c r="F44" s="470" t="s">
        <v>85</v>
      </c>
      <c r="G44" s="434"/>
      <c r="H44" s="435"/>
      <c r="I44" s="85">
        <f>SUM(I41:I42)</f>
        <v>0</v>
      </c>
    </row>
    <row r="46" spans="1:9" ht="12.75">
      <c r="A46" s="471" t="str">
        <f>'TOTAL área m² '!B14</f>
        <v>g.2) Banheiros</v>
      </c>
      <c r="B46" s="434"/>
      <c r="C46" s="434"/>
      <c r="D46" s="435"/>
      <c r="F46" s="474"/>
      <c r="G46" s="461"/>
      <c r="H46" s="461"/>
      <c r="I46" s="461"/>
    </row>
    <row r="47" spans="1:9" ht="12.75">
      <c r="A47" s="75" t="s">
        <v>64</v>
      </c>
      <c r="B47" s="75" t="s">
        <v>65</v>
      </c>
      <c r="C47" s="76" t="s">
        <v>66</v>
      </c>
      <c r="D47" s="75" t="s">
        <v>67</v>
      </c>
      <c r="F47" s="91"/>
      <c r="G47" s="91"/>
      <c r="H47" s="92"/>
      <c r="I47" s="91"/>
    </row>
    <row r="48" spans="1:9" ht="12.75">
      <c r="A48" s="79" t="s">
        <v>75</v>
      </c>
      <c r="B48" s="464" t="s">
        <v>76</v>
      </c>
      <c r="C48" s="434"/>
      <c r="D48" s="435"/>
      <c r="F48" s="93"/>
      <c r="G48" s="475"/>
      <c r="H48" s="461"/>
      <c r="I48" s="461"/>
    </row>
    <row r="49" spans="1:9" ht="12.75">
      <c r="A49" s="465" t="s">
        <v>83</v>
      </c>
      <c r="B49" s="82">
        <v>1</v>
      </c>
      <c r="C49" s="466">
        <f>Servente!I131</f>
        <v>0</v>
      </c>
      <c r="D49" s="466">
        <f>(B49/B50)*C49</f>
        <v>0</v>
      </c>
      <c r="F49" s="476"/>
      <c r="G49" s="94"/>
      <c r="H49" s="477"/>
      <c r="I49" s="477"/>
    </row>
    <row r="50" spans="1:9" ht="12.75">
      <c r="A50" s="438"/>
      <c r="B50" s="83">
        <v>300</v>
      </c>
      <c r="C50" s="438"/>
      <c r="D50" s="438"/>
      <c r="F50" s="461"/>
      <c r="G50" s="94"/>
      <c r="H50" s="461"/>
      <c r="I50" s="461"/>
    </row>
    <row r="51" spans="1:9" ht="12.75">
      <c r="A51" s="470" t="s">
        <v>85</v>
      </c>
      <c r="B51" s="434"/>
      <c r="C51" s="435"/>
      <c r="D51" s="85">
        <f>SUM(D48:D49)</f>
        <v>0</v>
      </c>
      <c r="F51" s="478"/>
      <c r="G51" s="461"/>
      <c r="H51" s="461"/>
      <c r="I51" s="95"/>
    </row>
    <row r="53" spans="1:9" ht="12.75">
      <c r="A53" s="471" t="str">
        <f>'TOTAL área m² '!B13</f>
        <v>g.1) Banheiros</v>
      </c>
      <c r="B53" s="434"/>
      <c r="C53" s="434"/>
      <c r="D53" s="435"/>
    </row>
    <row r="54" spans="1:9" ht="12.75">
      <c r="A54" s="75" t="s">
        <v>64</v>
      </c>
      <c r="B54" s="75" t="s">
        <v>65</v>
      </c>
      <c r="C54" s="76" t="s">
        <v>66</v>
      </c>
      <c r="D54" s="75" t="s">
        <v>67</v>
      </c>
    </row>
    <row r="55" spans="1:9" ht="12.75">
      <c r="A55" s="79" t="s">
        <v>75</v>
      </c>
      <c r="B55" s="464" t="s">
        <v>76</v>
      </c>
      <c r="C55" s="434"/>
      <c r="D55" s="435"/>
    </row>
    <row r="56" spans="1:9" ht="12.75">
      <c r="A56" s="465" t="s">
        <v>83</v>
      </c>
      <c r="B56" s="82">
        <v>1</v>
      </c>
      <c r="C56" s="466">
        <f>Servente!I131</f>
        <v>0</v>
      </c>
      <c r="D56" s="466">
        <f>(B56/B57)*C56</f>
        <v>0</v>
      </c>
    </row>
    <row r="57" spans="1:9" ht="12.75">
      <c r="A57" s="438"/>
      <c r="B57" s="83">
        <v>200</v>
      </c>
      <c r="C57" s="438"/>
      <c r="D57" s="438"/>
    </row>
    <row r="58" spans="1:9" ht="12.75">
      <c r="A58" s="470" t="s">
        <v>85</v>
      </c>
      <c r="B58" s="434"/>
      <c r="C58" s="435"/>
      <c r="D58" s="85">
        <f>SUM(D55:D56)</f>
        <v>0</v>
      </c>
    </row>
    <row r="60" spans="1:9" ht="12.75">
      <c r="A60" s="471" t="str">
        <f>'TOTAL área m² '!B7</f>
        <v>b.2) Pisos frios</v>
      </c>
      <c r="B60" s="434"/>
      <c r="C60" s="434"/>
      <c r="D60" s="435"/>
    </row>
    <row r="61" spans="1:9" ht="12.75">
      <c r="A61" s="75" t="s">
        <v>64</v>
      </c>
      <c r="B61" s="75" t="s">
        <v>65</v>
      </c>
      <c r="C61" s="76" t="s">
        <v>66</v>
      </c>
      <c r="D61" s="75" t="s">
        <v>67</v>
      </c>
    </row>
    <row r="62" spans="1:9" ht="12.75">
      <c r="A62" s="79" t="s">
        <v>75</v>
      </c>
      <c r="B62" s="464" t="s">
        <v>76</v>
      </c>
      <c r="C62" s="434"/>
      <c r="D62" s="435"/>
    </row>
    <row r="63" spans="1:9" ht="12.75">
      <c r="A63" s="465" t="s">
        <v>83</v>
      </c>
      <c r="B63" s="82">
        <v>1</v>
      </c>
      <c r="C63" s="466">
        <f>Servente!I131</f>
        <v>0</v>
      </c>
      <c r="D63" s="466">
        <f>(B63/B64)*C63</f>
        <v>0</v>
      </c>
    </row>
    <row r="64" spans="1:9" ht="12.75">
      <c r="A64" s="438"/>
      <c r="B64" s="83">
        <v>1000</v>
      </c>
      <c r="C64" s="438"/>
      <c r="D64" s="438"/>
    </row>
    <row r="65" spans="1:4" ht="12.75">
      <c r="A65" s="470" t="s">
        <v>85</v>
      </c>
      <c r="B65" s="434"/>
      <c r="C65" s="435"/>
      <c r="D65" s="85">
        <f>SUM(D62:D63)</f>
        <v>0</v>
      </c>
    </row>
    <row r="67" spans="1:4" ht="12.75">
      <c r="A67" s="471" t="str">
        <f>'TOTAL área m² '!B8</f>
        <v>b.3) Pisos frios</v>
      </c>
      <c r="B67" s="434"/>
      <c r="C67" s="434"/>
      <c r="D67" s="435"/>
    </row>
    <row r="68" spans="1:4" ht="12.75">
      <c r="A68" s="75" t="s">
        <v>64</v>
      </c>
      <c r="B68" s="75" t="s">
        <v>65</v>
      </c>
      <c r="C68" s="76" t="s">
        <v>66</v>
      </c>
      <c r="D68" s="75" t="s">
        <v>67</v>
      </c>
    </row>
    <row r="69" spans="1:4" ht="12.75">
      <c r="A69" s="79" t="s">
        <v>75</v>
      </c>
      <c r="B69" s="464" t="s">
        <v>76</v>
      </c>
      <c r="C69" s="434"/>
      <c r="D69" s="435"/>
    </row>
    <row r="70" spans="1:4" ht="12.75">
      <c r="A70" s="465" t="s">
        <v>83</v>
      </c>
      <c r="B70" s="82">
        <v>1</v>
      </c>
      <c r="C70" s="466">
        <f>Servente!I131</f>
        <v>0</v>
      </c>
      <c r="D70" s="466">
        <f>(B70/B71)*C70</f>
        <v>0</v>
      </c>
    </row>
    <row r="71" spans="1:4" ht="12.75">
      <c r="A71" s="438"/>
      <c r="B71" s="83">
        <v>800</v>
      </c>
      <c r="C71" s="438"/>
      <c r="D71" s="438"/>
    </row>
    <row r="72" spans="1:4" ht="12.75">
      <c r="A72" s="470" t="s">
        <v>85</v>
      </c>
      <c r="B72" s="434"/>
      <c r="C72" s="435"/>
      <c r="D72" s="85">
        <f>SUM(D69:D70)</f>
        <v>0</v>
      </c>
    </row>
  </sheetData>
  <mergeCells count="150">
    <mergeCell ref="A58:C58"/>
    <mergeCell ref="C70:C71"/>
    <mergeCell ref="D70:D71"/>
    <mergeCell ref="A46:D46"/>
    <mergeCell ref="B48:D48"/>
    <mergeCell ref="A49:A50"/>
    <mergeCell ref="C49:C50"/>
    <mergeCell ref="D49:D50"/>
    <mergeCell ref="A51:C51"/>
    <mergeCell ref="A53:D53"/>
    <mergeCell ref="B55:D55"/>
    <mergeCell ref="A56:A57"/>
    <mergeCell ref="C56:C57"/>
    <mergeCell ref="D56:D57"/>
    <mergeCell ref="F35:F36"/>
    <mergeCell ref="H35:H36"/>
    <mergeCell ref="F37:H37"/>
    <mergeCell ref="F39:I39"/>
    <mergeCell ref="G41:I41"/>
    <mergeCell ref="F42:F43"/>
    <mergeCell ref="I42:I43"/>
    <mergeCell ref="C42:C43"/>
    <mergeCell ref="A44:C44"/>
    <mergeCell ref="A72:C72"/>
    <mergeCell ref="A30:C30"/>
    <mergeCell ref="F30:H30"/>
    <mergeCell ref="A32:D32"/>
    <mergeCell ref="F32:I32"/>
    <mergeCell ref="B34:D34"/>
    <mergeCell ref="G34:I34"/>
    <mergeCell ref="A35:A36"/>
    <mergeCell ref="I35:I36"/>
    <mergeCell ref="C35:C36"/>
    <mergeCell ref="D35:D36"/>
    <mergeCell ref="A37:C37"/>
    <mergeCell ref="A39:D39"/>
    <mergeCell ref="B41:D41"/>
    <mergeCell ref="A42:A43"/>
    <mergeCell ref="D42:D43"/>
    <mergeCell ref="H42:H43"/>
    <mergeCell ref="F44:H44"/>
    <mergeCell ref="F46:I46"/>
    <mergeCell ref="G48:I48"/>
    <mergeCell ref="F49:F50"/>
    <mergeCell ref="H49:H50"/>
    <mergeCell ref="I49:I50"/>
    <mergeCell ref="F51:H51"/>
    <mergeCell ref="A63:A64"/>
    <mergeCell ref="A70:A71"/>
    <mergeCell ref="A60:D60"/>
    <mergeCell ref="B62:D62"/>
    <mergeCell ref="C63:C64"/>
    <mergeCell ref="D63:D64"/>
    <mergeCell ref="A65:C65"/>
    <mergeCell ref="A67:D67"/>
    <mergeCell ref="B69:D69"/>
    <mergeCell ref="D28:D29"/>
    <mergeCell ref="F28:F29"/>
    <mergeCell ref="H28:H29"/>
    <mergeCell ref="I28:I29"/>
    <mergeCell ref="A23:C23"/>
    <mergeCell ref="A25:D25"/>
    <mergeCell ref="F25:I25"/>
    <mergeCell ref="B27:D27"/>
    <mergeCell ref="G27:I27"/>
    <mergeCell ref="A28:A29"/>
    <mergeCell ref="C28:C29"/>
    <mergeCell ref="K24:P24"/>
    <mergeCell ref="H21:H22"/>
    <mergeCell ref="I21:I22"/>
    <mergeCell ref="K22:K23"/>
    <mergeCell ref="M22:M23"/>
    <mergeCell ref="O22:O23"/>
    <mergeCell ref="Q22:Q23"/>
    <mergeCell ref="F23:H23"/>
    <mergeCell ref="C14:C15"/>
    <mergeCell ref="A16:C16"/>
    <mergeCell ref="A18:D18"/>
    <mergeCell ref="A21:A22"/>
    <mergeCell ref="C21:C22"/>
    <mergeCell ref="D21:D22"/>
    <mergeCell ref="F21:F22"/>
    <mergeCell ref="L21:Q21"/>
    <mergeCell ref="C7:C8"/>
    <mergeCell ref="D7:D8"/>
    <mergeCell ref="A9:C9"/>
    <mergeCell ref="A11:D11"/>
    <mergeCell ref="B13:D13"/>
    <mergeCell ref="A14:A15"/>
    <mergeCell ref="D14:D15"/>
    <mergeCell ref="P22:P23"/>
    <mergeCell ref="S10:X10"/>
    <mergeCell ref="P8:P9"/>
    <mergeCell ref="K10:P10"/>
    <mergeCell ref="F16:H16"/>
    <mergeCell ref="F18:I18"/>
    <mergeCell ref="B20:D20"/>
    <mergeCell ref="G20:I20"/>
    <mergeCell ref="K15:K16"/>
    <mergeCell ref="K19:K20"/>
    <mergeCell ref="K17:P17"/>
    <mergeCell ref="K18:N18"/>
    <mergeCell ref="AA3:AD3"/>
    <mergeCell ref="AA4:AD4"/>
    <mergeCell ref="AB6:AD6"/>
    <mergeCell ref="A1:AD1"/>
    <mergeCell ref="A3:D3"/>
    <mergeCell ref="F3:I3"/>
    <mergeCell ref="K3:Q3"/>
    <mergeCell ref="S3:Y3"/>
    <mergeCell ref="A4:D4"/>
    <mergeCell ref="S4:Y4"/>
    <mergeCell ref="I7:I8"/>
    <mergeCell ref="L7:Q7"/>
    <mergeCell ref="T7:Y7"/>
    <mergeCell ref="AA7:AA8"/>
    <mergeCell ref="AC7:AC8"/>
    <mergeCell ref="AD7:AD8"/>
    <mergeCell ref="S8:S9"/>
    <mergeCell ref="U8:U9"/>
    <mergeCell ref="W8:W9"/>
    <mergeCell ref="X8:X9"/>
    <mergeCell ref="Y8:Y9"/>
    <mergeCell ref="AA9:AC9"/>
    <mergeCell ref="F11:I11"/>
    <mergeCell ref="K11:N11"/>
    <mergeCell ref="G13:I13"/>
    <mergeCell ref="F14:F15"/>
    <mergeCell ref="H14:H15"/>
    <mergeCell ref="I14:I15"/>
    <mergeCell ref="L14:Q14"/>
    <mergeCell ref="K12:K13"/>
    <mergeCell ref="M15:M16"/>
    <mergeCell ref="O15:O16"/>
    <mergeCell ref="P15:P16"/>
    <mergeCell ref="Q15:Q16"/>
    <mergeCell ref="F4:I4"/>
    <mergeCell ref="K4:N4"/>
    <mergeCell ref="K5:K6"/>
    <mergeCell ref="S5:S6"/>
    <mergeCell ref="B6:D6"/>
    <mergeCell ref="G6:I6"/>
    <mergeCell ref="A7:A8"/>
    <mergeCell ref="F7:F8"/>
    <mergeCell ref="H7:H8"/>
    <mergeCell ref="K8:K9"/>
    <mergeCell ref="M8:M9"/>
    <mergeCell ref="O8:O9"/>
    <mergeCell ref="Q8:Q9"/>
    <mergeCell ref="F9:H9"/>
  </mergeCells>
  <printOptions horizontalCentered="1" gridLines="1"/>
  <pageMargins left="0.7" right="0.7" top="0.75" bottom="1.2406922614621427" header="0" footer="0"/>
  <pageSetup paperSize="9" fitToHeight="0" pageOrder="overThenDown" orientation="portrait" cellComments="atEnd"/>
  <headerFooter>
    <oddHeader>&amp;CANEXO I - C - PRODUTIVIDADE (44h Segunda à Sexta)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outlinePr summaryBelow="0" summaryRight="0"/>
    <pageSetUpPr fitToPage="1"/>
  </sheetPr>
  <dimension ref="A1:L131"/>
  <sheetViews>
    <sheetView showGridLines="0" topLeftCell="A99" workbookViewId="0">
      <selection activeCell="J1" sqref="J1:J131"/>
    </sheetView>
  </sheetViews>
  <sheetFormatPr defaultColWidth="14.42578125" defaultRowHeight="15" customHeight="1"/>
  <cols>
    <col min="10" max="10" width="81.7109375" customWidth="1"/>
  </cols>
  <sheetData>
    <row r="1" spans="1:12" ht="15" customHeight="1">
      <c r="A1" s="480" t="s">
        <v>88</v>
      </c>
      <c r="B1" s="434"/>
      <c r="C1" s="434"/>
      <c r="D1" s="434"/>
      <c r="E1" s="434"/>
      <c r="F1" s="434"/>
      <c r="G1" s="434"/>
      <c r="H1" s="434"/>
      <c r="I1" s="435"/>
      <c r="J1" s="96"/>
      <c r="K1" s="96"/>
      <c r="L1" s="96"/>
    </row>
    <row r="2" spans="1:12" ht="15" customHeight="1">
      <c r="A2" s="483"/>
      <c r="B2" s="434"/>
      <c r="C2" s="434"/>
      <c r="D2" s="434"/>
      <c r="E2" s="434"/>
      <c r="F2" s="434"/>
      <c r="G2" s="434"/>
      <c r="H2" s="434"/>
      <c r="I2" s="435"/>
      <c r="J2" s="96"/>
      <c r="K2" s="96"/>
      <c r="L2" s="96"/>
    </row>
    <row r="3" spans="1:12" ht="15" customHeight="1">
      <c r="A3" s="484" t="s">
        <v>89</v>
      </c>
      <c r="B3" s="434"/>
      <c r="C3" s="434"/>
      <c r="D3" s="434"/>
      <c r="E3" s="434"/>
      <c r="F3" s="434"/>
      <c r="G3" s="434"/>
      <c r="H3" s="434"/>
      <c r="I3" s="435"/>
      <c r="J3" s="96"/>
      <c r="K3" s="96"/>
      <c r="L3" s="96"/>
    </row>
    <row r="4" spans="1:12" ht="15" customHeight="1">
      <c r="A4" s="481" t="s">
        <v>90</v>
      </c>
      <c r="B4" s="434"/>
      <c r="C4" s="434"/>
      <c r="D4" s="434"/>
      <c r="E4" s="434"/>
      <c r="F4" s="434"/>
      <c r="G4" s="434"/>
      <c r="H4" s="434"/>
      <c r="I4" s="435"/>
      <c r="J4" s="97"/>
      <c r="K4" s="96"/>
      <c r="L4" s="96"/>
    </row>
    <row r="5" spans="1:12" ht="15" customHeight="1">
      <c r="A5" s="98" t="s">
        <v>91</v>
      </c>
      <c r="B5" s="479" t="s">
        <v>92</v>
      </c>
      <c r="C5" s="434"/>
      <c r="D5" s="434"/>
      <c r="E5" s="434"/>
      <c r="F5" s="434"/>
      <c r="G5" s="435"/>
      <c r="H5" s="485">
        <v>44197</v>
      </c>
      <c r="I5" s="435"/>
      <c r="J5" s="99"/>
      <c r="K5" s="96"/>
      <c r="L5" s="96"/>
    </row>
    <row r="6" spans="1:12" ht="15" customHeight="1">
      <c r="A6" s="98" t="s">
        <v>93</v>
      </c>
      <c r="B6" s="479" t="s">
        <v>94</v>
      </c>
      <c r="C6" s="434"/>
      <c r="D6" s="434"/>
      <c r="E6" s="434"/>
      <c r="F6" s="434"/>
      <c r="G6" s="435"/>
      <c r="H6" s="486" t="s">
        <v>95</v>
      </c>
      <c r="I6" s="435"/>
      <c r="J6" s="97"/>
      <c r="K6" s="96"/>
      <c r="L6" s="96"/>
    </row>
    <row r="7" spans="1:12" ht="15" customHeight="1">
      <c r="A7" s="98" t="s">
        <v>96</v>
      </c>
      <c r="B7" s="479" t="s">
        <v>97</v>
      </c>
      <c r="C7" s="434"/>
      <c r="D7" s="434"/>
      <c r="E7" s="434"/>
      <c r="F7" s="434"/>
      <c r="G7" s="435"/>
      <c r="H7" s="486">
        <v>2021</v>
      </c>
      <c r="I7" s="435"/>
      <c r="J7" s="97"/>
      <c r="K7" s="96"/>
      <c r="L7" s="96"/>
    </row>
    <row r="8" spans="1:12" ht="15" customHeight="1">
      <c r="A8" s="98" t="s">
        <v>98</v>
      </c>
      <c r="B8" s="479" t="s">
        <v>99</v>
      </c>
      <c r="C8" s="434"/>
      <c r="D8" s="434"/>
      <c r="E8" s="434"/>
      <c r="F8" s="434"/>
      <c r="G8" s="435"/>
      <c r="H8" s="486">
        <v>30</v>
      </c>
      <c r="I8" s="435"/>
      <c r="J8" s="97"/>
      <c r="K8" s="96"/>
      <c r="L8" s="96"/>
    </row>
    <row r="9" spans="1:12" ht="15" customHeight="1">
      <c r="A9" s="96"/>
      <c r="B9" s="96"/>
      <c r="C9" s="96"/>
      <c r="D9" s="96"/>
      <c r="E9" s="96"/>
      <c r="F9" s="96"/>
      <c r="G9" s="96"/>
      <c r="H9" s="96"/>
      <c r="I9" s="96"/>
      <c r="J9" s="97"/>
      <c r="K9" s="96"/>
      <c r="L9" s="96"/>
    </row>
    <row r="10" spans="1:12" ht="15" customHeight="1">
      <c r="A10" s="487" t="s">
        <v>100</v>
      </c>
      <c r="B10" s="430"/>
      <c r="C10" s="430"/>
      <c r="D10" s="430"/>
      <c r="E10" s="430"/>
      <c r="F10" s="430"/>
      <c r="G10" s="430"/>
      <c r="H10" s="430"/>
      <c r="I10" s="431"/>
      <c r="J10" s="97"/>
      <c r="K10" s="96"/>
      <c r="L10" s="96"/>
    </row>
    <row r="11" spans="1:12" ht="15" customHeight="1">
      <c r="A11" s="486" t="s">
        <v>101</v>
      </c>
      <c r="B11" s="435"/>
      <c r="C11" s="486" t="s">
        <v>102</v>
      </c>
      <c r="D11" s="435"/>
      <c r="E11" s="486" t="s">
        <v>103</v>
      </c>
      <c r="F11" s="434"/>
      <c r="G11" s="434"/>
      <c r="H11" s="434"/>
      <c r="I11" s="435"/>
      <c r="J11" s="97"/>
      <c r="K11" s="96"/>
      <c r="L11" s="96"/>
    </row>
    <row r="12" spans="1:12" ht="15" customHeight="1">
      <c r="A12" s="486" t="s">
        <v>104</v>
      </c>
      <c r="B12" s="435"/>
      <c r="C12" s="486" t="s">
        <v>105</v>
      </c>
      <c r="D12" s="435"/>
      <c r="E12" s="488"/>
      <c r="F12" s="434"/>
      <c r="G12" s="434"/>
      <c r="H12" s="434"/>
      <c r="I12" s="435"/>
      <c r="J12" s="97"/>
      <c r="K12" s="96"/>
      <c r="L12" s="96"/>
    </row>
    <row r="13" spans="1:12" ht="15" customHeight="1">
      <c r="A13" s="96"/>
      <c r="B13" s="96"/>
      <c r="C13" s="96"/>
      <c r="D13" s="96"/>
      <c r="E13" s="96"/>
      <c r="F13" s="96"/>
      <c r="G13" s="96"/>
      <c r="H13" s="96"/>
      <c r="I13" s="96"/>
      <c r="J13" s="97"/>
      <c r="K13" s="96"/>
      <c r="L13" s="96"/>
    </row>
    <row r="14" spans="1:12" ht="15" customHeight="1">
      <c r="A14" s="487" t="s">
        <v>106</v>
      </c>
      <c r="B14" s="430"/>
      <c r="C14" s="430"/>
      <c r="D14" s="430"/>
      <c r="E14" s="430"/>
      <c r="F14" s="430"/>
      <c r="G14" s="430"/>
      <c r="H14" s="430"/>
      <c r="I14" s="431"/>
      <c r="J14" s="97"/>
      <c r="K14" s="96"/>
      <c r="L14" s="96"/>
    </row>
    <row r="15" spans="1:12" ht="15" customHeight="1">
      <c r="A15" s="98">
        <v>1</v>
      </c>
      <c r="B15" s="479" t="s">
        <v>107</v>
      </c>
      <c r="C15" s="434"/>
      <c r="D15" s="434"/>
      <c r="E15" s="434"/>
      <c r="F15" s="434"/>
      <c r="G15" s="435"/>
      <c r="H15" s="486" t="s">
        <v>104</v>
      </c>
      <c r="I15" s="435"/>
      <c r="J15" s="97"/>
      <c r="K15" s="96"/>
      <c r="L15" s="96"/>
    </row>
    <row r="16" spans="1:12" ht="15" customHeight="1">
      <c r="A16" s="98">
        <v>2</v>
      </c>
      <c r="B16" s="479" t="s">
        <v>108</v>
      </c>
      <c r="C16" s="434"/>
      <c r="D16" s="434"/>
      <c r="E16" s="434"/>
      <c r="F16" s="434"/>
      <c r="G16" s="435"/>
      <c r="H16" s="486" t="s">
        <v>109</v>
      </c>
      <c r="I16" s="435"/>
      <c r="J16" s="97"/>
      <c r="K16" s="96"/>
      <c r="L16" s="96"/>
    </row>
    <row r="17" spans="1:12" ht="15" customHeight="1">
      <c r="A17" s="98">
        <v>3</v>
      </c>
      <c r="B17" s="479" t="s">
        <v>110</v>
      </c>
      <c r="C17" s="434"/>
      <c r="D17" s="434"/>
      <c r="E17" s="434"/>
      <c r="F17" s="434"/>
      <c r="G17" s="435"/>
      <c r="H17" s="489"/>
      <c r="I17" s="435"/>
      <c r="J17" s="100"/>
      <c r="K17" s="96"/>
      <c r="L17" s="96"/>
    </row>
    <row r="18" spans="1:12" ht="15" customHeight="1">
      <c r="A18" s="98">
        <v>4</v>
      </c>
      <c r="B18" s="479" t="s">
        <v>111</v>
      </c>
      <c r="C18" s="434"/>
      <c r="D18" s="434"/>
      <c r="E18" s="434"/>
      <c r="F18" s="434"/>
      <c r="G18" s="435"/>
      <c r="H18" s="480" t="s">
        <v>83</v>
      </c>
      <c r="I18" s="435"/>
      <c r="J18" s="97"/>
      <c r="K18" s="96"/>
      <c r="L18" s="96"/>
    </row>
    <row r="19" spans="1:12" ht="15" customHeight="1">
      <c r="A19" s="98">
        <v>5</v>
      </c>
      <c r="B19" s="479" t="s">
        <v>112</v>
      </c>
      <c r="C19" s="434"/>
      <c r="D19" s="434"/>
      <c r="E19" s="434"/>
      <c r="F19" s="434"/>
      <c r="G19" s="435"/>
      <c r="H19" s="485">
        <v>44197</v>
      </c>
      <c r="I19" s="435"/>
      <c r="J19" s="99"/>
      <c r="K19" s="96"/>
      <c r="L19" s="96"/>
    </row>
    <row r="20" spans="1:12" ht="15" customHeight="1">
      <c r="A20" s="482"/>
      <c r="B20" s="430"/>
      <c r="C20" s="430"/>
      <c r="D20" s="430"/>
      <c r="E20" s="430"/>
      <c r="F20" s="430"/>
      <c r="G20" s="430"/>
      <c r="H20" s="430"/>
      <c r="I20" s="431"/>
      <c r="J20" s="96"/>
      <c r="K20" s="96"/>
      <c r="L20" s="96"/>
    </row>
    <row r="21" spans="1:12" ht="15" customHeight="1">
      <c r="A21" s="481" t="s">
        <v>113</v>
      </c>
      <c r="B21" s="434"/>
      <c r="C21" s="434"/>
      <c r="D21" s="434"/>
      <c r="E21" s="434"/>
      <c r="F21" s="434"/>
      <c r="G21" s="434"/>
      <c r="H21" s="434"/>
      <c r="I21" s="435"/>
      <c r="J21" s="101" t="s">
        <v>114</v>
      </c>
      <c r="K21" s="96"/>
      <c r="L21" s="96"/>
    </row>
    <row r="22" spans="1:12" ht="15" customHeight="1">
      <c r="A22" s="102">
        <v>1</v>
      </c>
      <c r="B22" s="480" t="s">
        <v>115</v>
      </c>
      <c r="C22" s="434"/>
      <c r="D22" s="434"/>
      <c r="E22" s="434"/>
      <c r="F22" s="434"/>
      <c r="G22" s="435"/>
      <c r="H22" s="102" t="s">
        <v>116</v>
      </c>
      <c r="I22" s="102" t="s">
        <v>117</v>
      </c>
      <c r="J22" s="102"/>
      <c r="K22" s="96"/>
      <c r="L22" s="96"/>
    </row>
    <row r="23" spans="1:12" ht="15" customHeight="1">
      <c r="A23" s="102" t="s">
        <v>91</v>
      </c>
      <c r="B23" s="479" t="s">
        <v>118</v>
      </c>
      <c r="C23" s="434"/>
      <c r="D23" s="434"/>
      <c r="E23" s="434"/>
      <c r="F23" s="434"/>
      <c r="G23" s="435"/>
      <c r="H23" s="103"/>
      <c r="I23" s="104">
        <f>H17</f>
        <v>0</v>
      </c>
      <c r="J23" s="105"/>
      <c r="K23" s="96"/>
      <c r="L23" s="96"/>
    </row>
    <row r="24" spans="1:12" ht="15" customHeight="1">
      <c r="A24" s="102" t="s">
        <v>93</v>
      </c>
      <c r="B24" s="479" t="s">
        <v>119</v>
      </c>
      <c r="C24" s="434"/>
      <c r="D24" s="434"/>
      <c r="E24" s="434"/>
      <c r="F24" s="434"/>
      <c r="G24" s="435"/>
      <c r="H24" s="106"/>
      <c r="I24" s="107">
        <v>0</v>
      </c>
      <c r="J24" s="108"/>
      <c r="K24" s="96"/>
      <c r="L24" s="96"/>
    </row>
    <row r="25" spans="1:12" ht="15" customHeight="1">
      <c r="A25" s="102" t="s">
        <v>96</v>
      </c>
      <c r="B25" s="479" t="s">
        <v>120</v>
      </c>
      <c r="C25" s="434"/>
      <c r="D25" s="434"/>
      <c r="E25" s="434"/>
      <c r="F25" s="434"/>
      <c r="G25" s="435"/>
      <c r="H25" s="106"/>
      <c r="I25" s="107">
        <f>H25*I23</f>
        <v>0</v>
      </c>
      <c r="J25" s="108"/>
      <c r="K25" s="96"/>
      <c r="L25" s="96"/>
    </row>
    <row r="26" spans="1:12" ht="15" customHeight="1">
      <c r="A26" s="102" t="s">
        <v>98</v>
      </c>
      <c r="B26" s="479" t="s">
        <v>121</v>
      </c>
      <c r="C26" s="434"/>
      <c r="D26" s="434"/>
      <c r="E26" s="434"/>
      <c r="F26" s="434"/>
      <c r="G26" s="435"/>
      <c r="H26" s="106"/>
      <c r="I26" s="107">
        <v>0</v>
      </c>
      <c r="J26" s="108"/>
      <c r="K26" s="96"/>
      <c r="L26" s="96"/>
    </row>
    <row r="27" spans="1:12" ht="15" customHeight="1">
      <c r="A27" s="102" t="s">
        <v>122</v>
      </c>
      <c r="B27" s="479" t="s">
        <v>123</v>
      </c>
      <c r="C27" s="434"/>
      <c r="D27" s="434"/>
      <c r="E27" s="434"/>
      <c r="F27" s="434"/>
      <c r="G27" s="435"/>
      <c r="H27" s="106"/>
      <c r="I27" s="107">
        <v>0</v>
      </c>
      <c r="J27" s="108"/>
      <c r="K27" s="96"/>
      <c r="L27" s="96"/>
    </row>
    <row r="28" spans="1:12" ht="15" customHeight="1">
      <c r="A28" s="102" t="s">
        <v>124</v>
      </c>
      <c r="B28" s="479" t="s">
        <v>125</v>
      </c>
      <c r="C28" s="434"/>
      <c r="D28" s="434"/>
      <c r="E28" s="434"/>
      <c r="F28" s="434"/>
      <c r="G28" s="435"/>
      <c r="H28" s="106"/>
      <c r="I28" s="107">
        <v>0</v>
      </c>
      <c r="J28" s="108"/>
      <c r="K28" s="96"/>
      <c r="L28" s="96"/>
    </row>
    <row r="29" spans="1:12" ht="15" customHeight="1">
      <c r="A29" s="102" t="s">
        <v>126</v>
      </c>
      <c r="B29" s="479" t="s">
        <v>127</v>
      </c>
      <c r="C29" s="434"/>
      <c r="D29" s="434"/>
      <c r="E29" s="434"/>
      <c r="F29" s="434"/>
      <c r="G29" s="435"/>
      <c r="H29" s="106"/>
      <c r="I29" s="107">
        <v>0</v>
      </c>
      <c r="J29" s="108"/>
      <c r="K29" s="96"/>
      <c r="L29" s="96"/>
    </row>
    <row r="30" spans="1:12" ht="15" customHeight="1">
      <c r="A30" s="480" t="s">
        <v>128</v>
      </c>
      <c r="B30" s="434"/>
      <c r="C30" s="434"/>
      <c r="D30" s="434"/>
      <c r="E30" s="434"/>
      <c r="F30" s="434"/>
      <c r="G30" s="434"/>
      <c r="H30" s="435"/>
      <c r="I30" s="109">
        <f>TRUNC(SUM(I23:I29),2)</f>
        <v>0</v>
      </c>
      <c r="J30" s="110"/>
      <c r="K30" s="96"/>
      <c r="L30" s="96"/>
    </row>
    <row r="31" spans="1:12" ht="15" customHeight="1">
      <c r="A31" s="103"/>
      <c r="B31" s="103"/>
      <c r="C31" s="103"/>
      <c r="D31" s="103"/>
      <c r="E31" s="103"/>
      <c r="F31" s="103"/>
      <c r="G31" s="103"/>
      <c r="H31" s="103"/>
      <c r="I31" s="111"/>
      <c r="J31" s="111"/>
      <c r="K31" s="96"/>
      <c r="L31" s="96"/>
    </row>
    <row r="32" spans="1:12" ht="15" customHeight="1">
      <c r="A32" s="481" t="s">
        <v>129</v>
      </c>
      <c r="B32" s="434"/>
      <c r="C32" s="434"/>
      <c r="D32" s="434"/>
      <c r="E32" s="434"/>
      <c r="F32" s="434"/>
      <c r="G32" s="434"/>
      <c r="H32" s="434"/>
      <c r="I32" s="435"/>
      <c r="J32" s="112" t="s">
        <v>114</v>
      </c>
      <c r="K32" s="96"/>
      <c r="L32" s="96"/>
    </row>
    <row r="33" spans="1:12" ht="15" customHeight="1">
      <c r="A33" s="480" t="s">
        <v>130</v>
      </c>
      <c r="B33" s="434"/>
      <c r="C33" s="434"/>
      <c r="D33" s="434"/>
      <c r="E33" s="434"/>
      <c r="F33" s="434"/>
      <c r="G33" s="435"/>
      <c r="H33" s="102" t="s">
        <v>116</v>
      </c>
      <c r="I33" s="102" t="s">
        <v>117</v>
      </c>
      <c r="J33" s="102"/>
      <c r="K33" s="96"/>
      <c r="L33" s="96"/>
    </row>
    <row r="34" spans="1:12" ht="15" customHeight="1">
      <c r="A34" s="102" t="s">
        <v>91</v>
      </c>
      <c r="B34" s="479" t="s">
        <v>131</v>
      </c>
      <c r="C34" s="434"/>
      <c r="D34" s="434"/>
      <c r="E34" s="434"/>
      <c r="F34" s="434"/>
      <c r="G34" s="435"/>
      <c r="H34" s="754"/>
      <c r="I34" s="107">
        <f>$I$30*H34</f>
        <v>0</v>
      </c>
      <c r="J34" s="113"/>
      <c r="K34" s="96"/>
      <c r="L34" s="96"/>
    </row>
    <row r="35" spans="1:12" ht="15" customHeight="1">
      <c r="A35" s="102" t="s">
        <v>93</v>
      </c>
      <c r="B35" s="479" t="s">
        <v>132</v>
      </c>
      <c r="C35" s="434"/>
      <c r="D35" s="434"/>
      <c r="E35" s="434"/>
      <c r="F35" s="434"/>
      <c r="G35" s="435"/>
      <c r="H35" s="755"/>
      <c r="I35" s="107">
        <f>H35*I30</f>
        <v>0</v>
      </c>
      <c r="J35" s="113"/>
      <c r="K35" s="96"/>
      <c r="L35" s="96"/>
    </row>
    <row r="36" spans="1:12" ht="15" customHeight="1">
      <c r="A36" s="480" t="s">
        <v>133</v>
      </c>
      <c r="B36" s="434"/>
      <c r="C36" s="434"/>
      <c r="D36" s="434"/>
      <c r="E36" s="434"/>
      <c r="F36" s="434"/>
      <c r="G36" s="435"/>
      <c r="H36" s="114">
        <f>TRUNC(SUM(H34:H35),4)</f>
        <v>0</v>
      </c>
      <c r="I36" s="115">
        <f>TRUNC(SUM(I34:I35),2)</f>
        <v>0</v>
      </c>
      <c r="J36" s="116" t="s">
        <v>134</v>
      </c>
      <c r="K36" s="96"/>
      <c r="L36" s="96"/>
    </row>
    <row r="37" spans="1:12" ht="15" customHeight="1">
      <c r="A37" s="482"/>
      <c r="B37" s="430"/>
      <c r="C37" s="430"/>
      <c r="D37" s="430"/>
      <c r="E37" s="430"/>
      <c r="F37" s="430"/>
      <c r="G37" s="430"/>
      <c r="H37" s="430"/>
      <c r="I37" s="431"/>
      <c r="J37" s="117"/>
      <c r="K37" s="118" t="s">
        <v>135</v>
      </c>
      <c r="L37" s="119">
        <f>I30+I36</f>
        <v>0</v>
      </c>
    </row>
    <row r="38" spans="1:12" ht="15" customHeight="1">
      <c r="A38" s="480" t="s">
        <v>136</v>
      </c>
      <c r="B38" s="434"/>
      <c r="C38" s="434"/>
      <c r="D38" s="434"/>
      <c r="E38" s="434"/>
      <c r="F38" s="434"/>
      <c r="G38" s="435"/>
      <c r="H38" s="102" t="s">
        <v>116</v>
      </c>
      <c r="I38" s="102" t="s">
        <v>117</v>
      </c>
      <c r="J38" s="112" t="s">
        <v>114</v>
      </c>
      <c r="K38" s="96"/>
      <c r="L38" s="96"/>
    </row>
    <row r="39" spans="1:12" ht="15" customHeight="1">
      <c r="A39" s="102" t="s">
        <v>91</v>
      </c>
      <c r="B39" s="479" t="s">
        <v>137</v>
      </c>
      <c r="C39" s="434"/>
      <c r="D39" s="434"/>
      <c r="E39" s="434"/>
      <c r="F39" s="434"/>
      <c r="G39" s="435"/>
      <c r="H39" s="106">
        <v>0.2</v>
      </c>
      <c r="I39" s="107">
        <f t="shared" ref="I39:I46" si="0">H39*$L$37</f>
        <v>0</v>
      </c>
      <c r="J39" s="113"/>
      <c r="K39" s="96"/>
      <c r="L39" s="96"/>
    </row>
    <row r="40" spans="1:12" ht="12.75">
      <c r="A40" s="102" t="s">
        <v>93</v>
      </c>
      <c r="B40" s="479" t="s">
        <v>138</v>
      </c>
      <c r="C40" s="434"/>
      <c r="D40" s="434"/>
      <c r="E40" s="434"/>
      <c r="F40" s="434"/>
      <c r="G40" s="435"/>
      <c r="H40" s="106">
        <v>2.5000000000000001E-2</v>
      </c>
      <c r="I40" s="107">
        <f t="shared" si="0"/>
        <v>0</v>
      </c>
      <c r="J40" s="113"/>
      <c r="K40" s="96"/>
      <c r="L40" s="96"/>
    </row>
    <row r="41" spans="1:12" ht="12.75">
      <c r="A41" s="102" t="s">
        <v>96</v>
      </c>
      <c r="B41" s="479" t="s">
        <v>139</v>
      </c>
      <c r="C41" s="434"/>
      <c r="D41" s="434"/>
      <c r="E41" s="434"/>
      <c r="F41" s="434"/>
      <c r="G41" s="435"/>
      <c r="H41" s="120"/>
      <c r="I41" s="107">
        <f t="shared" si="0"/>
        <v>0</v>
      </c>
      <c r="J41" s="113"/>
      <c r="K41" s="96"/>
      <c r="L41" s="96"/>
    </row>
    <row r="42" spans="1:12" ht="12.75">
      <c r="A42" s="102" t="s">
        <v>98</v>
      </c>
      <c r="B42" s="479" t="s">
        <v>140</v>
      </c>
      <c r="C42" s="434"/>
      <c r="D42" s="434"/>
      <c r="E42" s="434"/>
      <c r="F42" s="434"/>
      <c r="G42" s="435"/>
      <c r="H42" s="106">
        <v>1.4999999999999999E-2</v>
      </c>
      <c r="I42" s="107">
        <f t="shared" si="0"/>
        <v>0</v>
      </c>
      <c r="J42" s="113"/>
      <c r="K42" s="96"/>
      <c r="L42" s="96"/>
    </row>
    <row r="43" spans="1:12" ht="12.75">
      <c r="A43" s="102" t="s">
        <v>122</v>
      </c>
      <c r="B43" s="479" t="s">
        <v>141</v>
      </c>
      <c r="C43" s="434"/>
      <c r="D43" s="434"/>
      <c r="E43" s="434"/>
      <c r="F43" s="434"/>
      <c r="G43" s="435"/>
      <c r="H43" s="106">
        <v>0.01</v>
      </c>
      <c r="I43" s="107">
        <f t="shared" si="0"/>
        <v>0</v>
      </c>
      <c r="J43" s="113"/>
      <c r="K43" s="96"/>
      <c r="L43" s="96"/>
    </row>
    <row r="44" spans="1:12" ht="12.75">
      <c r="A44" s="102" t="s">
        <v>124</v>
      </c>
      <c r="B44" s="479" t="s">
        <v>142</v>
      </c>
      <c r="C44" s="434"/>
      <c r="D44" s="434"/>
      <c r="E44" s="434"/>
      <c r="F44" s="434"/>
      <c r="G44" s="435"/>
      <c r="H44" s="106">
        <v>6.0000000000000001E-3</v>
      </c>
      <c r="I44" s="107">
        <f t="shared" si="0"/>
        <v>0</v>
      </c>
      <c r="J44" s="113"/>
      <c r="K44" s="96"/>
      <c r="L44" s="96"/>
    </row>
    <row r="45" spans="1:12" ht="12.75">
      <c r="A45" s="102" t="s">
        <v>126</v>
      </c>
      <c r="B45" s="479" t="s">
        <v>143</v>
      </c>
      <c r="C45" s="434"/>
      <c r="D45" s="434"/>
      <c r="E45" s="434"/>
      <c r="F45" s="434"/>
      <c r="G45" s="435"/>
      <c r="H45" s="106">
        <v>2E-3</v>
      </c>
      <c r="I45" s="107">
        <f t="shared" si="0"/>
        <v>0</v>
      </c>
      <c r="J45" s="113"/>
      <c r="K45" s="96"/>
      <c r="L45" s="96"/>
    </row>
    <row r="46" spans="1:12" ht="12.75">
      <c r="A46" s="102" t="s">
        <v>144</v>
      </c>
      <c r="B46" s="479" t="s">
        <v>145</v>
      </c>
      <c r="C46" s="434"/>
      <c r="D46" s="434"/>
      <c r="E46" s="434"/>
      <c r="F46" s="434"/>
      <c r="G46" s="435"/>
      <c r="H46" s="106">
        <v>0.08</v>
      </c>
      <c r="I46" s="107">
        <f t="shared" si="0"/>
        <v>0</v>
      </c>
      <c r="J46" s="113"/>
      <c r="K46" s="96"/>
      <c r="L46" s="96"/>
    </row>
    <row r="47" spans="1:12" ht="12.75">
      <c r="A47" s="480" t="s">
        <v>146</v>
      </c>
      <c r="B47" s="434"/>
      <c r="C47" s="434"/>
      <c r="D47" s="434"/>
      <c r="E47" s="434"/>
      <c r="F47" s="434"/>
      <c r="G47" s="435"/>
      <c r="H47" s="114">
        <f>SUM(H39:H46)</f>
        <v>0.33800000000000002</v>
      </c>
      <c r="I47" s="115">
        <f>TRUNC(SUM(I39:I46),2)</f>
        <v>0</v>
      </c>
      <c r="J47" s="116" t="s">
        <v>147</v>
      </c>
      <c r="K47" s="96"/>
      <c r="L47" s="96"/>
    </row>
    <row r="48" spans="1:12" ht="12.75">
      <c r="A48" s="482"/>
      <c r="B48" s="430"/>
      <c r="C48" s="430"/>
      <c r="D48" s="430"/>
      <c r="E48" s="430"/>
      <c r="F48" s="430"/>
      <c r="G48" s="430"/>
      <c r="H48" s="430"/>
      <c r="I48" s="431"/>
      <c r="J48" s="117"/>
      <c r="K48" s="96"/>
      <c r="L48" s="96"/>
    </row>
    <row r="49" spans="1:12" ht="12.75">
      <c r="A49" s="480" t="s">
        <v>148</v>
      </c>
      <c r="B49" s="434"/>
      <c r="C49" s="434"/>
      <c r="D49" s="434"/>
      <c r="E49" s="434"/>
      <c r="F49" s="434"/>
      <c r="G49" s="435"/>
      <c r="H49" s="114"/>
      <c r="I49" s="102" t="s">
        <v>117</v>
      </c>
      <c r="J49" s="112" t="s">
        <v>114</v>
      </c>
      <c r="K49" s="96"/>
      <c r="L49" s="96"/>
    </row>
    <row r="50" spans="1:12" ht="12.75">
      <c r="A50" s="102" t="s">
        <v>91</v>
      </c>
      <c r="B50" s="490" t="s">
        <v>149</v>
      </c>
      <c r="C50" s="434"/>
      <c r="D50" s="434"/>
      <c r="E50" s="434"/>
      <c r="F50" s="434"/>
      <c r="G50" s="435"/>
      <c r="H50" s="98" t="s">
        <v>150</v>
      </c>
      <c r="I50" s="107"/>
      <c r="J50" s="121"/>
      <c r="K50" s="96"/>
      <c r="L50" s="96"/>
    </row>
    <row r="51" spans="1:12" ht="12.75">
      <c r="A51" s="102" t="s">
        <v>93</v>
      </c>
      <c r="B51" s="490" t="s">
        <v>151</v>
      </c>
      <c r="C51" s="434"/>
      <c r="D51" s="434"/>
      <c r="E51" s="434"/>
      <c r="F51" s="434"/>
      <c r="G51" s="435"/>
      <c r="H51" s="98" t="s">
        <v>150</v>
      </c>
      <c r="I51" s="107"/>
      <c r="J51" s="121"/>
      <c r="K51" s="96"/>
      <c r="L51" s="96"/>
    </row>
    <row r="52" spans="1:12" ht="12.75">
      <c r="A52" s="102" t="s">
        <v>96</v>
      </c>
      <c r="B52" s="490" t="s">
        <v>152</v>
      </c>
      <c r="C52" s="434"/>
      <c r="D52" s="434"/>
      <c r="E52" s="434"/>
      <c r="F52" s="434"/>
      <c r="G52" s="435"/>
      <c r="H52" s="98" t="s">
        <v>150</v>
      </c>
      <c r="I52" s="107"/>
      <c r="J52" s="113"/>
      <c r="K52" s="96"/>
      <c r="L52" s="96"/>
    </row>
    <row r="53" spans="1:12" ht="12.75">
      <c r="A53" s="102" t="s">
        <v>122</v>
      </c>
      <c r="B53" s="479" t="s">
        <v>153</v>
      </c>
      <c r="C53" s="434"/>
      <c r="D53" s="434"/>
      <c r="E53" s="434"/>
      <c r="F53" s="434"/>
      <c r="G53" s="435"/>
      <c r="H53" s="98" t="s">
        <v>150</v>
      </c>
      <c r="I53" s="122"/>
      <c r="J53" s="123"/>
      <c r="K53" s="96"/>
      <c r="L53" s="96"/>
    </row>
    <row r="54" spans="1:12" ht="12.75">
      <c r="A54" s="102" t="s">
        <v>126</v>
      </c>
      <c r="B54" s="490" t="s">
        <v>154</v>
      </c>
      <c r="C54" s="434"/>
      <c r="D54" s="434"/>
      <c r="E54" s="434"/>
      <c r="F54" s="434"/>
      <c r="G54" s="435"/>
      <c r="H54" s="98" t="s">
        <v>150</v>
      </c>
      <c r="I54" s="107"/>
      <c r="J54" s="123"/>
      <c r="K54" s="96"/>
      <c r="L54" s="96"/>
    </row>
    <row r="55" spans="1:12" ht="12.75">
      <c r="A55" s="480" t="s">
        <v>155</v>
      </c>
      <c r="B55" s="434"/>
      <c r="C55" s="434"/>
      <c r="D55" s="434"/>
      <c r="E55" s="434"/>
      <c r="F55" s="434"/>
      <c r="G55" s="434"/>
      <c r="H55" s="435"/>
      <c r="I55" s="115">
        <f>SUM(I50:I54)</f>
        <v>0</v>
      </c>
      <c r="J55" s="124" t="s">
        <v>156</v>
      </c>
      <c r="K55" s="96"/>
      <c r="L55" s="96"/>
    </row>
    <row r="56" spans="1:12" ht="12.75">
      <c r="A56" s="482"/>
      <c r="B56" s="430"/>
      <c r="C56" s="430"/>
      <c r="D56" s="430"/>
      <c r="E56" s="430"/>
      <c r="F56" s="430"/>
      <c r="G56" s="430"/>
      <c r="H56" s="430"/>
      <c r="I56" s="431"/>
      <c r="J56" s="117"/>
      <c r="K56" s="96"/>
      <c r="L56" s="96"/>
    </row>
    <row r="57" spans="1:12" ht="12.75">
      <c r="A57" s="497" t="s">
        <v>157</v>
      </c>
      <c r="B57" s="434"/>
      <c r="C57" s="434"/>
      <c r="D57" s="434"/>
      <c r="E57" s="434"/>
      <c r="F57" s="434"/>
      <c r="G57" s="434"/>
      <c r="H57" s="434"/>
      <c r="I57" s="435"/>
      <c r="J57" s="112" t="s">
        <v>114</v>
      </c>
      <c r="K57" s="96"/>
      <c r="L57" s="96"/>
    </row>
    <row r="58" spans="1:12" ht="12.75">
      <c r="A58" s="480" t="s">
        <v>158</v>
      </c>
      <c r="B58" s="434"/>
      <c r="C58" s="434"/>
      <c r="D58" s="434"/>
      <c r="E58" s="434"/>
      <c r="F58" s="434"/>
      <c r="G58" s="434"/>
      <c r="H58" s="435"/>
      <c r="I58" s="102" t="s">
        <v>117</v>
      </c>
      <c r="J58" s="102"/>
      <c r="K58" s="96"/>
      <c r="L58" s="96"/>
    </row>
    <row r="59" spans="1:12" ht="12.75">
      <c r="A59" s="102" t="s">
        <v>159</v>
      </c>
      <c r="B59" s="486" t="s">
        <v>160</v>
      </c>
      <c r="C59" s="434"/>
      <c r="D59" s="434"/>
      <c r="E59" s="434"/>
      <c r="F59" s="434"/>
      <c r="G59" s="434"/>
      <c r="H59" s="435"/>
      <c r="I59" s="104">
        <f>I36</f>
        <v>0</v>
      </c>
      <c r="J59" s="125"/>
      <c r="K59" s="96"/>
      <c r="L59" s="96"/>
    </row>
    <row r="60" spans="1:12" ht="12.75">
      <c r="A60" s="102" t="s">
        <v>161</v>
      </c>
      <c r="B60" s="486" t="s">
        <v>162</v>
      </c>
      <c r="C60" s="434"/>
      <c r="D60" s="434"/>
      <c r="E60" s="434"/>
      <c r="F60" s="434"/>
      <c r="G60" s="434"/>
      <c r="H60" s="435"/>
      <c r="I60" s="104">
        <f>I47</f>
        <v>0</v>
      </c>
      <c r="J60" s="125"/>
      <c r="K60" s="96"/>
      <c r="L60" s="96"/>
    </row>
    <row r="61" spans="1:12" ht="12.75">
      <c r="A61" s="102" t="s">
        <v>163</v>
      </c>
      <c r="B61" s="486" t="s">
        <v>164</v>
      </c>
      <c r="C61" s="434"/>
      <c r="D61" s="434"/>
      <c r="E61" s="434"/>
      <c r="F61" s="434"/>
      <c r="G61" s="434"/>
      <c r="H61" s="435"/>
      <c r="I61" s="104">
        <f>I55</f>
        <v>0</v>
      </c>
      <c r="J61" s="125"/>
      <c r="K61" s="96"/>
      <c r="L61" s="96"/>
    </row>
    <row r="62" spans="1:12" ht="12.75">
      <c r="A62" s="480" t="s">
        <v>165</v>
      </c>
      <c r="B62" s="434"/>
      <c r="C62" s="434"/>
      <c r="D62" s="434"/>
      <c r="E62" s="434"/>
      <c r="F62" s="434"/>
      <c r="G62" s="434"/>
      <c r="H62" s="435"/>
      <c r="I62" s="109">
        <f>TRUNC(SUM(I59:I61),2)</f>
        <v>0</v>
      </c>
      <c r="J62" s="126" t="s">
        <v>166</v>
      </c>
      <c r="K62" s="96"/>
      <c r="L62" s="96"/>
    </row>
    <row r="63" spans="1:12" ht="12.75">
      <c r="A63" s="482"/>
      <c r="B63" s="430"/>
      <c r="C63" s="430"/>
      <c r="D63" s="430"/>
      <c r="E63" s="430"/>
      <c r="F63" s="430"/>
      <c r="G63" s="430"/>
      <c r="H63" s="430"/>
      <c r="I63" s="431"/>
      <c r="J63" s="117"/>
      <c r="K63" s="96"/>
      <c r="L63" s="96"/>
    </row>
    <row r="64" spans="1:12" ht="12.75">
      <c r="A64" s="481" t="s">
        <v>167</v>
      </c>
      <c r="B64" s="434"/>
      <c r="C64" s="434"/>
      <c r="D64" s="434"/>
      <c r="E64" s="434"/>
      <c r="F64" s="434"/>
      <c r="G64" s="434"/>
      <c r="H64" s="434"/>
      <c r="I64" s="435"/>
      <c r="J64" s="112" t="s">
        <v>114</v>
      </c>
      <c r="K64" s="96"/>
      <c r="L64" s="96"/>
    </row>
    <row r="65" spans="1:12" ht="12.75">
      <c r="A65" s="102">
        <v>3</v>
      </c>
      <c r="B65" s="480" t="s">
        <v>168</v>
      </c>
      <c r="C65" s="434"/>
      <c r="D65" s="434"/>
      <c r="E65" s="434"/>
      <c r="F65" s="434"/>
      <c r="G65" s="435"/>
      <c r="H65" s="102" t="s">
        <v>116</v>
      </c>
      <c r="I65" s="102" t="s">
        <v>117</v>
      </c>
      <c r="J65" s="102"/>
      <c r="K65" s="96"/>
      <c r="L65" s="96"/>
    </row>
    <row r="66" spans="1:12" ht="12.75">
      <c r="A66" s="102" t="s">
        <v>91</v>
      </c>
      <c r="B66" s="479" t="s">
        <v>169</v>
      </c>
      <c r="C66" s="434"/>
      <c r="D66" s="434"/>
      <c r="E66" s="434"/>
      <c r="F66" s="434"/>
      <c r="G66" s="435"/>
      <c r="H66" s="106"/>
      <c r="I66" s="107">
        <f>$I$30*H66</f>
        <v>0</v>
      </c>
      <c r="J66" s="121"/>
      <c r="K66" s="96"/>
      <c r="L66" s="96"/>
    </row>
    <row r="67" spans="1:12" ht="12.75">
      <c r="A67" s="102" t="s">
        <v>93</v>
      </c>
      <c r="B67" s="479" t="s">
        <v>170</v>
      </c>
      <c r="C67" s="434"/>
      <c r="D67" s="434"/>
      <c r="E67" s="434"/>
      <c r="F67" s="434"/>
      <c r="G67" s="435"/>
      <c r="H67" s="106"/>
      <c r="I67" s="107">
        <f>H67*I30</f>
        <v>0</v>
      </c>
      <c r="J67" s="121"/>
      <c r="K67" s="96"/>
      <c r="L67" s="96"/>
    </row>
    <row r="68" spans="1:12" ht="12.75">
      <c r="A68" s="102" t="s">
        <v>96</v>
      </c>
      <c r="B68" s="479" t="s">
        <v>171</v>
      </c>
      <c r="C68" s="434"/>
      <c r="D68" s="434"/>
      <c r="E68" s="434"/>
      <c r="F68" s="434"/>
      <c r="G68" s="435"/>
      <c r="H68" s="127"/>
      <c r="I68" s="107">
        <f t="shared" ref="I68:I71" si="1">$I$30*H68</f>
        <v>0</v>
      </c>
      <c r="J68" s="128"/>
      <c r="K68" s="129">
        <f>(0.08*(0.4)*0.9)*(1+0.0833+0.09075+0.03025)</f>
        <v>3.4683840000000001E-2</v>
      </c>
      <c r="L68" s="96"/>
    </row>
    <row r="69" spans="1:12" ht="12.75">
      <c r="A69" s="102" t="s">
        <v>98</v>
      </c>
      <c r="B69" s="479" t="s">
        <v>172</v>
      </c>
      <c r="C69" s="434"/>
      <c r="D69" s="434"/>
      <c r="E69" s="434"/>
      <c r="F69" s="434"/>
      <c r="G69" s="435"/>
      <c r="H69" s="106"/>
      <c r="I69" s="107">
        <f t="shared" si="1"/>
        <v>0</v>
      </c>
      <c r="J69" s="121"/>
      <c r="K69" s="96"/>
      <c r="L69" s="96"/>
    </row>
    <row r="70" spans="1:12" ht="12.75">
      <c r="A70" s="102" t="s">
        <v>122</v>
      </c>
      <c r="B70" s="479" t="s">
        <v>173</v>
      </c>
      <c r="C70" s="434"/>
      <c r="D70" s="434"/>
      <c r="E70" s="434"/>
      <c r="F70" s="434"/>
      <c r="G70" s="435"/>
      <c r="H70" s="130"/>
      <c r="I70" s="107">
        <f t="shared" si="1"/>
        <v>0</v>
      </c>
      <c r="J70" s="113"/>
      <c r="K70" s="96"/>
      <c r="L70" s="96"/>
    </row>
    <row r="71" spans="1:12" ht="12.75">
      <c r="A71" s="102" t="s">
        <v>124</v>
      </c>
      <c r="B71" s="479" t="s">
        <v>174</v>
      </c>
      <c r="C71" s="434"/>
      <c r="D71" s="434"/>
      <c r="E71" s="434"/>
      <c r="F71" s="434"/>
      <c r="G71" s="435"/>
      <c r="H71" s="106"/>
      <c r="I71" s="107">
        <f t="shared" si="1"/>
        <v>0</v>
      </c>
      <c r="J71" s="113"/>
      <c r="K71" s="96"/>
      <c r="L71" s="96"/>
    </row>
    <row r="72" spans="1:12" ht="12.75">
      <c r="A72" s="480" t="s">
        <v>175</v>
      </c>
      <c r="B72" s="434"/>
      <c r="C72" s="434"/>
      <c r="D72" s="434"/>
      <c r="E72" s="434"/>
      <c r="F72" s="434"/>
      <c r="G72" s="435"/>
      <c r="H72" s="131">
        <f>TRUNC(SUM(H66:H71),4)</f>
        <v>0</v>
      </c>
      <c r="I72" s="115">
        <f>TRUNC(SUM(I66:I71),2)</f>
        <v>0</v>
      </c>
      <c r="J72" s="124" t="s">
        <v>176</v>
      </c>
      <c r="K72" s="96"/>
      <c r="L72" s="96"/>
    </row>
    <row r="73" spans="1:12" ht="12.75">
      <c r="A73" s="482"/>
      <c r="B73" s="430"/>
      <c r="C73" s="430"/>
      <c r="D73" s="430"/>
      <c r="E73" s="430"/>
      <c r="F73" s="430"/>
      <c r="G73" s="430"/>
      <c r="H73" s="430"/>
      <c r="I73" s="431"/>
      <c r="J73" s="103"/>
      <c r="K73" s="96"/>
      <c r="L73" s="96"/>
    </row>
    <row r="74" spans="1:12" ht="12.75">
      <c r="A74" s="481" t="s">
        <v>177</v>
      </c>
      <c r="B74" s="434"/>
      <c r="C74" s="434"/>
      <c r="D74" s="434"/>
      <c r="E74" s="434"/>
      <c r="F74" s="434"/>
      <c r="G74" s="434"/>
      <c r="H74" s="434"/>
      <c r="I74" s="435"/>
      <c r="J74" s="112" t="s">
        <v>114</v>
      </c>
      <c r="K74" s="96"/>
      <c r="L74" s="96"/>
    </row>
    <row r="75" spans="1:12" ht="12.75">
      <c r="A75" s="480" t="s">
        <v>178</v>
      </c>
      <c r="B75" s="434"/>
      <c r="C75" s="434"/>
      <c r="D75" s="434"/>
      <c r="E75" s="434"/>
      <c r="F75" s="434"/>
      <c r="G75" s="435"/>
      <c r="H75" s="102" t="s">
        <v>116</v>
      </c>
      <c r="I75" s="102" t="s">
        <v>117</v>
      </c>
      <c r="J75" s="102"/>
      <c r="K75" s="96"/>
      <c r="L75" s="96"/>
    </row>
    <row r="76" spans="1:12" ht="12.75">
      <c r="A76" s="102" t="s">
        <v>91</v>
      </c>
      <c r="B76" s="479" t="s">
        <v>179</v>
      </c>
      <c r="C76" s="434"/>
      <c r="D76" s="434"/>
      <c r="E76" s="434"/>
      <c r="F76" s="434"/>
      <c r="G76" s="435"/>
      <c r="H76" s="106"/>
      <c r="I76" s="107">
        <f t="shared" ref="I76:I79" si="2">$I$30*H76</f>
        <v>0</v>
      </c>
      <c r="J76" s="123"/>
      <c r="K76" s="96"/>
      <c r="L76" s="96"/>
    </row>
    <row r="77" spans="1:12" ht="12.75">
      <c r="A77" s="102" t="s">
        <v>93</v>
      </c>
      <c r="B77" s="479" t="s">
        <v>180</v>
      </c>
      <c r="C77" s="434"/>
      <c r="D77" s="434"/>
      <c r="E77" s="434"/>
      <c r="F77" s="434"/>
      <c r="G77" s="435"/>
      <c r="H77" s="106"/>
      <c r="I77" s="107">
        <f t="shared" si="2"/>
        <v>0</v>
      </c>
      <c r="J77" s="123"/>
      <c r="K77" s="96"/>
      <c r="L77" s="96"/>
    </row>
    <row r="78" spans="1:12" ht="12.75">
      <c r="A78" s="102" t="s">
        <v>96</v>
      </c>
      <c r="B78" s="479" t="s">
        <v>181</v>
      </c>
      <c r="C78" s="434"/>
      <c r="D78" s="434"/>
      <c r="E78" s="434"/>
      <c r="F78" s="434"/>
      <c r="G78" s="435"/>
      <c r="H78" s="106"/>
      <c r="I78" s="107">
        <f t="shared" si="2"/>
        <v>0</v>
      </c>
      <c r="J78" s="123"/>
      <c r="K78" s="96"/>
      <c r="L78" s="96"/>
    </row>
    <row r="79" spans="1:12" ht="12.75">
      <c r="A79" s="102" t="s">
        <v>98</v>
      </c>
      <c r="B79" s="479" t="s">
        <v>182</v>
      </c>
      <c r="C79" s="434"/>
      <c r="D79" s="434"/>
      <c r="E79" s="434"/>
      <c r="F79" s="434"/>
      <c r="G79" s="435"/>
      <c r="H79" s="106"/>
      <c r="I79" s="107">
        <f t="shared" si="2"/>
        <v>0</v>
      </c>
      <c r="J79" s="123"/>
      <c r="K79" s="96"/>
      <c r="L79" s="96"/>
    </row>
    <row r="80" spans="1:12" ht="12.75">
      <c r="A80" s="102" t="s">
        <v>122</v>
      </c>
      <c r="B80" s="479" t="s">
        <v>183</v>
      </c>
      <c r="C80" s="434"/>
      <c r="D80" s="434"/>
      <c r="E80" s="434"/>
      <c r="F80" s="434"/>
      <c r="G80" s="435"/>
      <c r="H80" s="106"/>
      <c r="I80" s="107">
        <f>H80*I30</f>
        <v>0</v>
      </c>
      <c r="J80" s="123"/>
      <c r="K80" s="96"/>
      <c r="L80" s="108"/>
    </row>
    <row r="81" spans="1:12" ht="12.75">
      <c r="A81" s="102" t="s">
        <v>124</v>
      </c>
      <c r="B81" s="498" t="s">
        <v>184</v>
      </c>
      <c r="C81" s="434"/>
      <c r="D81" s="434"/>
      <c r="E81" s="434"/>
      <c r="F81" s="434"/>
      <c r="G81" s="435"/>
      <c r="H81" s="106"/>
      <c r="I81" s="107">
        <f>$I$30*H81</f>
        <v>0</v>
      </c>
      <c r="J81" s="123"/>
      <c r="K81" s="96"/>
      <c r="L81" s="96"/>
    </row>
    <row r="82" spans="1:12" ht="12.75">
      <c r="A82" s="480" t="s">
        <v>185</v>
      </c>
      <c r="B82" s="434"/>
      <c r="C82" s="434"/>
      <c r="D82" s="434"/>
      <c r="E82" s="434"/>
      <c r="F82" s="434"/>
      <c r="G82" s="435"/>
      <c r="H82" s="131">
        <f t="shared" ref="H82:I82" si="3">SUM(H76:H81)</f>
        <v>0</v>
      </c>
      <c r="I82" s="115">
        <f t="shared" si="3"/>
        <v>0</v>
      </c>
      <c r="J82" s="116" t="s">
        <v>186</v>
      </c>
      <c r="K82" s="96"/>
      <c r="L82" s="96"/>
    </row>
    <row r="83" spans="1:12" ht="12.75">
      <c r="A83" s="482"/>
      <c r="B83" s="430"/>
      <c r="C83" s="430"/>
      <c r="D83" s="430"/>
      <c r="E83" s="430"/>
      <c r="F83" s="430"/>
      <c r="G83" s="430"/>
      <c r="H83" s="430"/>
      <c r="I83" s="431"/>
      <c r="J83" s="117"/>
      <c r="K83" s="96"/>
      <c r="L83" s="96"/>
    </row>
    <row r="84" spans="1:12" ht="12.75">
      <c r="A84" s="480" t="s">
        <v>187</v>
      </c>
      <c r="B84" s="434"/>
      <c r="C84" s="434"/>
      <c r="D84" s="434"/>
      <c r="E84" s="434"/>
      <c r="F84" s="434"/>
      <c r="G84" s="435"/>
      <c r="H84" s="102" t="s">
        <v>116</v>
      </c>
      <c r="I84" s="102" t="s">
        <v>117</v>
      </c>
      <c r="J84" s="112" t="s">
        <v>114</v>
      </c>
      <c r="K84" s="96"/>
      <c r="L84" s="96"/>
    </row>
    <row r="85" spans="1:12" ht="12.75">
      <c r="A85" s="102" t="s">
        <v>91</v>
      </c>
      <c r="B85" s="479" t="s">
        <v>188</v>
      </c>
      <c r="C85" s="434"/>
      <c r="D85" s="434"/>
      <c r="E85" s="434"/>
      <c r="F85" s="434"/>
      <c r="G85" s="435"/>
      <c r="H85" s="106">
        <v>0</v>
      </c>
      <c r="I85" s="107">
        <f>$I$30*H85</f>
        <v>0</v>
      </c>
      <c r="J85" s="132"/>
      <c r="K85" s="96"/>
      <c r="L85" s="96"/>
    </row>
    <row r="86" spans="1:12" ht="12.75">
      <c r="A86" s="480" t="s">
        <v>189</v>
      </c>
      <c r="B86" s="434"/>
      <c r="C86" s="434"/>
      <c r="D86" s="434"/>
      <c r="E86" s="434"/>
      <c r="F86" s="434"/>
      <c r="G86" s="435"/>
      <c r="H86" s="114">
        <f>TRUNC(SUM(H85),4)</f>
        <v>0</v>
      </c>
      <c r="I86" s="115">
        <f>TRUNC(SUM(I85),2)</f>
        <v>0</v>
      </c>
      <c r="J86" s="124"/>
      <c r="K86" s="96"/>
      <c r="L86" s="96"/>
    </row>
    <row r="87" spans="1:12" ht="12.75">
      <c r="A87" s="482"/>
      <c r="B87" s="430"/>
      <c r="C87" s="430"/>
      <c r="D87" s="430"/>
      <c r="E87" s="430"/>
      <c r="F87" s="430"/>
      <c r="G87" s="430"/>
      <c r="H87" s="430"/>
      <c r="I87" s="431"/>
      <c r="J87" s="117"/>
      <c r="K87" s="96"/>
      <c r="L87" s="96"/>
    </row>
    <row r="88" spans="1:12" ht="12.75">
      <c r="A88" s="497" t="s">
        <v>190</v>
      </c>
      <c r="B88" s="434"/>
      <c r="C88" s="434"/>
      <c r="D88" s="434"/>
      <c r="E88" s="434"/>
      <c r="F88" s="434"/>
      <c r="G88" s="434"/>
      <c r="H88" s="434"/>
      <c r="I88" s="435"/>
      <c r="J88" s="112" t="s">
        <v>114</v>
      </c>
      <c r="K88" s="96"/>
      <c r="L88" s="96"/>
    </row>
    <row r="89" spans="1:12" ht="12.75">
      <c r="A89" s="480" t="s">
        <v>191</v>
      </c>
      <c r="B89" s="434"/>
      <c r="C89" s="434"/>
      <c r="D89" s="434"/>
      <c r="E89" s="434"/>
      <c r="F89" s="434"/>
      <c r="G89" s="434"/>
      <c r="H89" s="435"/>
      <c r="I89" s="102" t="s">
        <v>117</v>
      </c>
      <c r="J89" s="102"/>
      <c r="K89" s="96"/>
      <c r="L89" s="96"/>
    </row>
    <row r="90" spans="1:12" ht="12.75">
      <c r="A90" s="102" t="s">
        <v>192</v>
      </c>
      <c r="B90" s="486" t="s">
        <v>180</v>
      </c>
      <c r="C90" s="434"/>
      <c r="D90" s="434"/>
      <c r="E90" s="434"/>
      <c r="F90" s="434"/>
      <c r="G90" s="434"/>
      <c r="H90" s="435"/>
      <c r="I90" s="107">
        <f>I82</f>
        <v>0</v>
      </c>
      <c r="J90" s="133"/>
      <c r="K90" s="96"/>
      <c r="L90" s="96"/>
    </row>
    <row r="91" spans="1:12" ht="12.75">
      <c r="A91" s="102" t="s">
        <v>193</v>
      </c>
      <c r="B91" s="486" t="s">
        <v>194</v>
      </c>
      <c r="C91" s="434"/>
      <c r="D91" s="434"/>
      <c r="E91" s="434"/>
      <c r="F91" s="434"/>
      <c r="G91" s="434"/>
      <c r="H91" s="435"/>
      <c r="I91" s="107">
        <f>I86</f>
        <v>0</v>
      </c>
      <c r="J91" s="133"/>
      <c r="K91" s="96"/>
      <c r="L91" s="96"/>
    </row>
    <row r="92" spans="1:12" ht="12.75">
      <c r="A92" s="480" t="s">
        <v>195</v>
      </c>
      <c r="B92" s="434"/>
      <c r="C92" s="434"/>
      <c r="D92" s="434"/>
      <c r="E92" s="434"/>
      <c r="F92" s="434"/>
      <c r="G92" s="434"/>
      <c r="H92" s="435"/>
      <c r="I92" s="115">
        <f>TRUNC(SUM(I90:I91),2)</f>
        <v>0</v>
      </c>
      <c r="J92" s="124" t="s">
        <v>186</v>
      </c>
      <c r="K92" s="96"/>
      <c r="L92" s="96"/>
    </row>
    <row r="93" spans="1:12" ht="12.75">
      <c r="A93" s="482"/>
      <c r="B93" s="430"/>
      <c r="C93" s="430"/>
      <c r="D93" s="430"/>
      <c r="E93" s="430"/>
      <c r="F93" s="430"/>
      <c r="G93" s="430"/>
      <c r="H93" s="430"/>
      <c r="I93" s="431"/>
      <c r="J93" s="117"/>
      <c r="K93" s="96"/>
      <c r="L93" s="96"/>
    </row>
    <row r="94" spans="1:12" ht="12.75">
      <c r="A94" s="481" t="s">
        <v>196</v>
      </c>
      <c r="B94" s="434"/>
      <c r="C94" s="434"/>
      <c r="D94" s="434"/>
      <c r="E94" s="434"/>
      <c r="F94" s="434"/>
      <c r="G94" s="434"/>
      <c r="H94" s="434"/>
      <c r="I94" s="435"/>
      <c r="J94" s="112" t="s">
        <v>114</v>
      </c>
      <c r="K94" s="96"/>
      <c r="L94" s="96"/>
    </row>
    <row r="95" spans="1:12" ht="12.75">
      <c r="A95" s="102">
        <v>5</v>
      </c>
      <c r="B95" s="480" t="s">
        <v>197</v>
      </c>
      <c r="C95" s="434"/>
      <c r="D95" s="434"/>
      <c r="E95" s="434"/>
      <c r="F95" s="434"/>
      <c r="G95" s="435"/>
      <c r="H95" s="102"/>
      <c r="I95" s="102" t="s">
        <v>117</v>
      </c>
      <c r="J95" s="102"/>
      <c r="K95" s="96"/>
      <c r="L95" s="96"/>
    </row>
    <row r="96" spans="1:12" ht="12.75">
      <c r="A96" s="102" t="s">
        <v>91</v>
      </c>
      <c r="B96" s="490" t="s">
        <v>198</v>
      </c>
      <c r="C96" s="434"/>
      <c r="D96" s="434"/>
      <c r="E96" s="434"/>
      <c r="F96" s="434"/>
      <c r="G96" s="435"/>
      <c r="H96" s="98" t="s">
        <v>150</v>
      </c>
      <c r="I96" s="107">
        <f>UNIFORME!G17</f>
        <v>0</v>
      </c>
      <c r="J96" s="134"/>
      <c r="K96" s="96"/>
      <c r="L96" s="96"/>
    </row>
    <row r="97" spans="1:12" ht="12.75">
      <c r="A97" s="102" t="s">
        <v>93</v>
      </c>
      <c r="B97" s="490" t="s">
        <v>200</v>
      </c>
      <c r="C97" s="434"/>
      <c r="D97" s="434"/>
      <c r="E97" s="434"/>
      <c r="F97" s="434"/>
      <c r="G97" s="435"/>
      <c r="H97" s="98" t="s">
        <v>150</v>
      </c>
      <c r="I97" s="107">
        <f>'MATERIAL_LIMPEZA CONSUMO'!L81</f>
        <v>0</v>
      </c>
      <c r="J97" s="134"/>
      <c r="K97" s="96"/>
      <c r="L97" s="96"/>
    </row>
    <row r="98" spans="1:12" ht="12.75">
      <c r="A98" s="135" t="s">
        <v>96</v>
      </c>
      <c r="B98" s="490" t="s">
        <v>201</v>
      </c>
      <c r="C98" s="434"/>
      <c r="D98" s="434"/>
      <c r="E98" s="434"/>
      <c r="F98" s="434"/>
      <c r="G98" s="435"/>
      <c r="H98" s="98" t="s">
        <v>150</v>
      </c>
      <c r="I98" s="107">
        <f>'MATERIAL_LIMPEZA EQUIPAMENTOS'!N48</f>
        <v>0</v>
      </c>
      <c r="J98" s="134"/>
      <c r="K98" s="96"/>
      <c r="L98" s="96"/>
    </row>
    <row r="99" spans="1:12" ht="12.75">
      <c r="A99" s="135" t="s">
        <v>98</v>
      </c>
      <c r="B99" s="490" t="s">
        <v>202</v>
      </c>
      <c r="C99" s="434"/>
      <c r="D99" s="434"/>
      <c r="E99" s="434"/>
      <c r="F99" s="434"/>
      <c r="G99" s="435"/>
      <c r="H99" s="98" t="s">
        <v>150</v>
      </c>
      <c r="I99" s="107">
        <f>'MATERIAL_LIMPEZA UTENSÍLIOS'!L71</f>
        <v>0</v>
      </c>
      <c r="J99" s="134"/>
      <c r="K99" s="96"/>
      <c r="L99" s="96"/>
    </row>
    <row r="100" spans="1:12" ht="12.75">
      <c r="A100" s="480" t="s">
        <v>203</v>
      </c>
      <c r="B100" s="434"/>
      <c r="C100" s="434"/>
      <c r="D100" s="434"/>
      <c r="E100" s="434"/>
      <c r="F100" s="434"/>
      <c r="G100" s="435"/>
      <c r="H100" s="114" t="s">
        <v>150</v>
      </c>
      <c r="I100" s="115">
        <f>SUM(I96:I99)</f>
        <v>0</v>
      </c>
      <c r="J100" s="133" t="s">
        <v>15</v>
      </c>
      <c r="K100" s="96"/>
      <c r="L100" s="96"/>
    </row>
    <row r="101" spans="1:12" ht="12.75">
      <c r="A101" s="482"/>
      <c r="B101" s="430"/>
      <c r="C101" s="430"/>
      <c r="D101" s="430"/>
      <c r="E101" s="430"/>
      <c r="F101" s="430"/>
      <c r="G101" s="430"/>
      <c r="H101" s="430"/>
      <c r="I101" s="431"/>
      <c r="J101" s="117"/>
      <c r="K101" s="96"/>
      <c r="L101" s="96"/>
    </row>
    <row r="102" spans="1:12" ht="12.75">
      <c r="A102" s="481" t="s">
        <v>204</v>
      </c>
      <c r="B102" s="434"/>
      <c r="C102" s="434"/>
      <c r="D102" s="434"/>
      <c r="E102" s="434"/>
      <c r="F102" s="434"/>
      <c r="G102" s="434"/>
      <c r="H102" s="434"/>
      <c r="I102" s="435"/>
      <c r="J102" s="112" t="s">
        <v>114</v>
      </c>
      <c r="K102" s="96"/>
      <c r="L102" s="96"/>
    </row>
    <row r="103" spans="1:12" ht="12.75">
      <c r="A103" s="102">
        <v>6</v>
      </c>
      <c r="B103" s="480" t="s">
        <v>205</v>
      </c>
      <c r="C103" s="434"/>
      <c r="D103" s="434"/>
      <c r="E103" s="434"/>
      <c r="F103" s="434"/>
      <c r="G103" s="435"/>
      <c r="H103" s="102" t="s">
        <v>116</v>
      </c>
      <c r="I103" s="102" t="s">
        <v>117</v>
      </c>
      <c r="J103" s="102"/>
      <c r="K103" s="96"/>
      <c r="L103" s="96"/>
    </row>
    <row r="104" spans="1:12" ht="12.75">
      <c r="A104" s="102" t="s">
        <v>91</v>
      </c>
      <c r="B104" s="479" t="s">
        <v>206</v>
      </c>
      <c r="C104" s="434"/>
      <c r="D104" s="434"/>
      <c r="E104" s="434"/>
      <c r="F104" s="434"/>
      <c r="G104" s="435"/>
      <c r="H104" s="136"/>
      <c r="I104" s="104">
        <f>TRUNC(H104*I129,2)</f>
        <v>0</v>
      </c>
      <c r="J104" s="137"/>
      <c r="K104" s="96"/>
      <c r="L104" s="96"/>
    </row>
    <row r="105" spans="1:12" ht="12.75">
      <c r="A105" s="102" t="s">
        <v>93</v>
      </c>
      <c r="B105" s="479" t="s">
        <v>207</v>
      </c>
      <c r="C105" s="434"/>
      <c r="D105" s="434"/>
      <c r="E105" s="434"/>
      <c r="F105" s="434"/>
      <c r="G105" s="435"/>
      <c r="H105" s="120"/>
      <c r="I105" s="104">
        <f>TRUNC(H105*(I104+I129),2)</f>
        <v>0</v>
      </c>
      <c r="J105" s="137"/>
      <c r="K105" s="96"/>
      <c r="L105" s="96"/>
    </row>
    <row r="106" spans="1:12" ht="12.75">
      <c r="A106" s="102" t="s">
        <v>96</v>
      </c>
      <c r="B106" s="495" t="s">
        <v>208</v>
      </c>
      <c r="C106" s="434"/>
      <c r="D106" s="434"/>
      <c r="E106" s="434"/>
      <c r="F106" s="434"/>
      <c r="G106" s="435"/>
      <c r="H106" s="106"/>
      <c r="I106" s="138"/>
      <c r="J106" s="138"/>
      <c r="K106" s="96"/>
      <c r="L106" s="96"/>
    </row>
    <row r="107" spans="1:12" ht="12.75">
      <c r="A107" s="102" t="s">
        <v>209</v>
      </c>
      <c r="B107" s="479" t="s">
        <v>210</v>
      </c>
      <c r="C107" s="434"/>
      <c r="D107" s="434"/>
      <c r="E107" s="434"/>
      <c r="F107" s="434"/>
      <c r="G107" s="435"/>
      <c r="H107" s="120"/>
      <c r="I107" s="104">
        <f>TRUNC(H107*I118,2)</f>
        <v>0</v>
      </c>
      <c r="J107" s="491"/>
      <c r="K107" s="96"/>
      <c r="L107" s="96"/>
    </row>
    <row r="108" spans="1:12" ht="12.75">
      <c r="A108" s="102" t="s">
        <v>211</v>
      </c>
      <c r="B108" s="479" t="s">
        <v>212</v>
      </c>
      <c r="C108" s="434"/>
      <c r="D108" s="434"/>
      <c r="E108" s="434"/>
      <c r="F108" s="434"/>
      <c r="G108" s="435"/>
      <c r="H108" s="139"/>
      <c r="I108" s="104">
        <f>TRUNC(H108*I118,2)</f>
        <v>0</v>
      </c>
      <c r="J108" s="437"/>
      <c r="K108" s="96"/>
      <c r="L108" s="96"/>
    </row>
    <row r="109" spans="1:12" ht="12.75">
      <c r="A109" s="102" t="s">
        <v>213</v>
      </c>
      <c r="B109" s="479" t="s">
        <v>214</v>
      </c>
      <c r="C109" s="434"/>
      <c r="D109" s="434"/>
      <c r="E109" s="434"/>
      <c r="F109" s="434"/>
      <c r="G109" s="435"/>
      <c r="H109" s="136"/>
      <c r="I109" s="104">
        <f>TRUNC(H109*I118,2)</f>
        <v>0</v>
      </c>
      <c r="J109" s="438"/>
      <c r="K109" s="96"/>
      <c r="L109" s="96"/>
    </row>
    <row r="110" spans="1:12" ht="12.75">
      <c r="A110" s="480" t="s">
        <v>215</v>
      </c>
      <c r="B110" s="434"/>
      <c r="C110" s="434"/>
      <c r="D110" s="434"/>
      <c r="E110" s="434"/>
      <c r="F110" s="434"/>
      <c r="G110" s="435"/>
      <c r="H110" s="120">
        <f>SUM(H104:H109)</f>
        <v>0</v>
      </c>
      <c r="I110" s="109">
        <f>TRUNC(SUM(I104:I109),2)</f>
        <v>0</v>
      </c>
      <c r="J110" s="140" t="s">
        <v>216</v>
      </c>
      <c r="K110" s="96"/>
      <c r="L110" s="96"/>
    </row>
    <row r="111" spans="1:12" ht="12.75" customHeight="1">
      <c r="A111" s="752" t="s">
        <v>217</v>
      </c>
      <c r="B111" s="753"/>
      <c r="C111" s="753"/>
      <c r="D111" s="753"/>
      <c r="E111" s="753"/>
      <c r="F111" s="753"/>
      <c r="G111" s="753"/>
      <c r="H111" s="753"/>
      <c r="I111" s="753"/>
      <c r="J111" s="751"/>
      <c r="K111" s="96"/>
      <c r="L111" s="96"/>
    </row>
    <row r="112" spans="1:12" ht="12.75">
      <c r="A112" s="103"/>
      <c r="B112" s="482"/>
      <c r="C112" s="430"/>
      <c r="D112" s="430"/>
      <c r="E112" s="430"/>
      <c r="F112" s="430"/>
      <c r="G112" s="430"/>
      <c r="H112" s="430"/>
      <c r="I112" s="431"/>
      <c r="J112" s="96"/>
      <c r="K112" s="96"/>
      <c r="L112" s="96"/>
    </row>
    <row r="113" spans="1:12" ht="12.75">
      <c r="A113" s="102" t="s">
        <v>218</v>
      </c>
      <c r="B113" s="492" t="s">
        <v>219</v>
      </c>
      <c r="C113" s="461"/>
      <c r="D113" s="461"/>
      <c r="E113" s="461"/>
      <c r="F113" s="461"/>
      <c r="G113" s="461"/>
      <c r="H113" s="141">
        <f>TRUNC(H107+H108+H109,4)</f>
        <v>0</v>
      </c>
      <c r="I113" s="142"/>
      <c r="J113" s="110"/>
      <c r="K113" s="96"/>
      <c r="L113" s="96"/>
    </row>
    <row r="114" spans="1:12" ht="12.75">
      <c r="A114" s="103"/>
      <c r="B114" s="494">
        <v>100</v>
      </c>
      <c r="C114" s="461"/>
      <c r="D114" s="461"/>
      <c r="E114" s="461"/>
      <c r="F114" s="461"/>
      <c r="G114" s="461"/>
      <c r="H114" s="129"/>
      <c r="I114" s="142"/>
      <c r="J114" s="110"/>
      <c r="K114" s="96"/>
      <c r="L114" s="96"/>
    </row>
    <row r="115" spans="1:12" ht="12.75">
      <c r="A115" s="103"/>
      <c r="B115" s="96"/>
      <c r="C115" s="96"/>
      <c r="D115" s="96"/>
      <c r="E115" s="96"/>
      <c r="F115" s="96"/>
      <c r="G115" s="96"/>
      <c r="H115" s="129"/>
      <c r="I115" s="142"/>
      <c r="J115" s="110"/>
      <c r="K115" s="96"/>
      <c r="L115" s="96"/>
    </row>
    <row r="116" spans="1:12" ht="12.75">
      <c r="A116" s="143" t="s">
        <v>220</v>
      </c>
      <c r="B116" s="494" t="s">
        <v>221</v>
      </c>
      <c r="C116" s="461"/>
      <c r="D116" s="461"/>
      <c r="E116" s="461"/>
      <c r="F116" s="461"/>
      <c r="G116" s="461"/>
      <c r="H116" s="129"/>
      <c r="I116" s="109">
        <f>TRUNC(I129+I104+I105,2)</f>
        <v>0</v>
      </c>
      <c r="J116" s="110"/>
      <c r="K116" s="96"/>
      <c r="L116" s="96"/>
    </row>
    <row r="117" spans="1:12" ht="12.75">
      <c r="A117" s="143"/>
      <c r="B117" s="96"/>
      <c r="C117" s="96"/>
      <c r="D117" s="96"/>
      <c r="E117" s="96"/>
      <c r="F117" s="96"/>
      <c r="G117" s="96"/>
      <c r="H117" s="129"/>
      <c r="I117" s="142"/>
      <c r="J117" s="110"/>
      <c r="K117" s="96"/>
      <c r="L117" s="96"/>
    </row>
    <row r="118" spans="1:12" ht="12.75">
      <c r="A118" s="143" t="s">
        <v>222</v>
      </c>
      <c r="B118" s="494" t="s">
        <v>223</v>
      </c>
      <c r="C118" s="461"/>
      <c r="D118" s="461"/>
      <c r="E118" s="461"/>
      <c r="F118" s="461"/>
      <c r="G118" s="461"/>
      <c r="H118" s="129"/>
      <c r="I118" s="109">
        <f>TRUNC(I116/(1-H113),2)</f>
        <v>0</v>
      </c>
      <c r="J118" s="110"/>
      <c r="K118" s="96"/>
      <c r="L118" s="96"/>
    </row>
    <row r="119" spans="1:12" ht="12.75">
      <c r="A119" s="103"/>
      <c r="B119" s="96"/>
      <c r="C119" s="96"/>
      <c r="D119" s="96"/>
      <c r="E119" s="96"/>
      <c r="F119" s="96"/>
      <c r="G119" s="96"/>
      <c r="H119" s="129"/>
      <c r="I119" s="142"/>
      <c r="J119" s="110"/>
      <c r="K119" s="96"/>
      <c r="L119" s="96"/>
    </row>
    <row r="120" spans="1:12" ht="12.75">
      <c r="A120" s="103"/>
      <c r="B120" s="495" t="s">
        <v>224</v>
      </c>
      <c r="C120" s="434"/>
      <c r="D120" s="434"/>
      <c r="E120" s="434"/>
      <c r="F120" s="434"/>
      <c r="G120" s="435"/>
      <c r="H120" s="106"/>
      <c r="I120" s="109">
        <f>TRUNC(I118-I116,2)</f>
        <v>0</v>
      </c>
      <c r="J120" s="110"/>
      <c r="K120" s="96"/>
      <c r="L120" s="108"/>
    </row>
    <row r="121" spans="1:12" ht="12.75">
      <c r="A121" s="96"/>
      <c r="B121" s="96"/>
      <c r="C121" s="96"/>
      <c r="D121" s="96"/>
      <c r="E121" s="96"/>
      <c r="F121" s="96"/>
      <c r="G121" s="96"/>
      <c r="H121" s="96"/>
      <c r="I121" s="108"/>
      <c r="J121" s="108"/>
      <c r="K121" s="96"/>
      <c r="L121" s="96"/>
    </row>
    <row r="122" spans="1:12" ht="12.75">
      <c r="A122" s="496" t="s">
        <v>225</v>
      </c>
      <c r="B122" s="430"/>
      <c r="C122" s="430"/>
      <c r="D122" s="430"/>
      <c r="E122" s="430"/>
      <c r="F122" s="430"/>
      <c r="G122" s="430"/>
      <c r="H122" s="430"/>
      <c r="I122" s="431"/>
      <c r="J122" s="97"/>
      <c r="K122" s="96"/>
      <c r="L122" s="144"/>
    </row>
    <row r="123" spans="1:12" ht="12.75">
      <c r="A123" s="480" t="s">
        <v>226</v>
      </c>
      <c r="B123" s="434"/>
      <c r="C123" s="434"/>
      <c r="D123" s="434"/>
      <c r="E123" s="434"/>
      <c r="F123" s="434"/>
      <c r="G123" s="434"/>
      <c r="H123" s="435"/>
      <c r="I123" s="102" t="s">
        <v>117</v>
      </c>
      <c r="J123" s="96"/>
      <c r="K123" s="96"/>
      <c r="L123" s="96"/>
    </row>
    <row r="124" spans="1:12" ht="12.75">
      <c r="A124" s="98" t="s">
        <v>91</v>
      </c>
      <c r="B124" s="479" t="str">
        <f>A21</f>
        <v>MÓDULO 1 - COMPOSIÇÃO DA REMUNERAÇÃO</v>
      </c>
      <c r="C124" s="434"/>
      <c r="D124" s="434"/>
      <c r="E124" s="434"/>
      <c r="F124" s="434"/>
      <c r="G124" s="434"/>
      <c r="H124" s="435"/>
      <c r="I124" s="104">
        <f>I30</f>
        <v>0</v>
      </c>
      <c r="J124" s="110"/>
      <c r="K124" s="96"/>
      <c r="L124" s="96"/>
    </row>
    <row r="125" spans="1:12" ht="12.75">
      <c r="A125" s="98" t="s">
        <v>93</v>
      </c>
      <c r="B125" s="479" t="str">
        <f>A58</f>
        <v>Módulo 2 - Encargos, Benefícios Anuais, Mensais e Diários</v>
      </c>
      <c r="C125" s="434"/>
      <c r="D125" s="434"/>
      <c r="E125" s="434"/>
      <c r="F125" s="434"/>
      <c r="G125" s="434"/>
      <c r="H125" s="435"/>
      <c r="I125" s="104">
        <f>I62</f>
        <v>0</v>
      </c>
      <c r="J125" s="110"/>
      <c r="K125" s="96"/>
      <c r="L125" s="96"/>
    </row>
    <row r="126" spans="1:12" ht="12.75">
      <c r="A126" s="98" t="s">
        <v>96</v>
      </c>
      <c r="B126" s="479" t="str">
        <f>A64</f>
        <v>MÓDULO 3 – PROVISÃO PARA RESCISÃO</v>
      </c>
      <c r="C126" s="434"/>
      <c r="D126" s="434"/>
      <c r="E126" s="434"/>
      <c r="F126" s="434"/>
      <c r="G126" s="434"/>
      <c r="H126" s="435"/>
      <c r="I126" s="104">
        <f>I72</f>
        <v>0</v>
      </c>
      <c r="J126" s="110"/>
      <c r="K126" s="96"/>
      <c r="L126" s="144"/>
    </row>
    <row r="127" spans="1:12" ht="12.75">
      <c r="A127" s="98" t="s">
        <v>98</v>
      </c>
      <c r="B127" s="479" t="str">
        <f>A74</f>
        <v>MÓDULO 4 – CUSTO DE REPOSIÇÃO DO PROFISSIONAL AUSENTE</v>
      </c>
      <c r="C127" s="434"/>
      <c r="D127" s="434"/>
      <c r="E127" s="434"/>
      <c r="F127" s="434"/>
      <c r="G127" s="434"/>
      <c r="H127" s="435"/>
      <c r="I127" s="104">
        <f>I92</f>
        <v>0</v>
      </c>
      <c r="J127" s="110"/>
      <c r="K127" s="96"/>
      <c r="L127" s="144"/>
    </row>
    <row r="128" spans="1:12" ht="12.75">
      <c r="A128" s="98" t="s">
        <v>122</v>
      </c>
      <c r="B128" s="479" t="str">
        <f>A94</f>
        <v>MÓDULO 5 – INSUMOS DIVERSOS</v>
      </c>
      <c r="C128" s="434"/>
      <c r="D128" s="434"/>
      <c r="E128" s="434"/>
      <c r="F128" s="434"/>
      <c r="G128" s="434"/>
      <c r="H128" s="435"/>
      <c r="I128" s="104">
        <f>I100</f>
        <v>0</v>
      </c>
      <c r="J128" s="110"/>
      <c r="K128" s="96"/>
      <c r="L128" s="96"/>
    </row>
    <row r="129" spans="1:12" ht="12.75">
      <c r="A129" s="102"/>
      <c r="B129" s="480" t="s">
        <v>227</v>
      </c>
      <c r="C129" s="434"/>
      <c r="D129" s="434"/>
      <c r="E129" s="434"/>
      <c r="F129" s="434"/>
      <c r="G129" s="434"/>
      <c r="H129" s="435"/>
      <c r="I129" s="109">
        <f>TRUNC(SUM(I124:I128),2)</f>
        <v>0</v>
      </c>
      <c r="J129" s="110"/>
      <c r="K129" s="96"/>
      <c r="L129" s="108"/>
    </row>
    <row r="130" spans="1:12" ht="12.75">
      <c r="A130" s="98" t="s">
        <v>124</v>
      </c>
      <c r="B130" s="493" t="str">
        <f>A102</f>
        <v>MÓDULO 6 – CUSTOS INDIRETOS, TRIBUTOS E LUCRO</v>
      </c>
      <c r="C130" s="434"/>
      <c r="D130" s="434"/>
      <c r="E130" s="434"/>
      <c r="F130" s="434"/>
      <c r="G130" s="434"/>
      <c r="H130" s="435"/>
      <c r="I130" s="104">
        <f>I110</f>
        <v>0</v>
      </c>
      <c r="J130" s="110"/>
      <c r="K130" s="96"/>
      <c r="L130" s="96"/>
    </row>
    <row r="131" spans="1:12" ht="12.75">
      <c r="A131" s="480" t="s">
        <v>228</v>
      </c>
      <c r="B131" s="434"/>
      <c r="C131" s="434"/>
      <c r="D131" s="434"/>
      <c r="E131" s="434"/>
      <c r="F131" s="434"/>
      <c r="G131" s="434"/>
      <c r="H131" s="435"/>
      <c r="I131" s="109">
        <f>TRUNC(SUM(I129:I130),2)</f>
        <v>0</v>
      </c>
      <c r="J131" s="110"/>
      <c r="K131" s="96"/>
      <c r="L131" s="96"/>
    </row>
  </sheetData>
  <mergeCells count="138">
    <mergeCell ref="A82:G82"/>
    <mergeCell ref="A83:I83"/>
    <mergeCell ref="A84:G84"/>
    <mergeCell ref="B85:G85"/>
    <mergeCell ref="A86:G86"/>
    <mergeCell ref="A87:I87"/>
    <mergeCell ref="A88:I88"/>
    <mergeCell ref="A89:H89"/>
    <mergeCell ref="B90:H90"/>
    <mergeCell ref="A73:I73"/>
    <mergeCell ref="A74:I74"/>
    <mergeCell ref="A75:G75"/>
    <mergeCell ref="B76:G76"/>
    <mergeCell ref="B77:G77"/>
    <mergeCell ref="B78:G78"/>
    <mergeCell ref="B79:G79"/>
    <mergeCell ref="B80:G80"/>
    <mergeCell ref="B81:G81"/>
    <mergeCell ref="A64:I64"/>
    <mergeCell ref="B65:G65"/>
    <mergeCell ref="B66:G66"/>
    <mergeCell ref="B67:G67"/>
    <mergeCell ref="B68:G68"/>
    <mergeCell ref="B69:G69"/>
    <mergeCell ref="B70:G70"/>
    <mergeCell ref="B71:G71"/>
    <mergeCell ref="A72:G72"/>
    <mergeCell ref="B113:G113"/>
    <mergeCell ref="B125:H125"/>
    <mergeCell ref="B126:H126"/>
    <mergeCell ref="B127:H127"/>
    <mergeCell ref="B128:H128"/>
    <mergeCell ref="B129:H129"/>
    <mergeCell ref="B130:H130"/>
    <mergeCell ref="A131:H131"/>
    <mergeCell ref="B114:G114"/>
    <mergeCell ref="B116:G116"/>
    <mergeCell ref="B118:G118"/>
    <mergeCell ref="B120:G120"/>
    <mergeCell ref="A122:I122"/>
    <mergeCell ref="A123:H123"/>
    <mergeCell ref="B124:H124"/>
    <mergeCell ref="A102:I102"/>
    <mergeCell ref="B103:G103"/>
    <mergeCell ref="B104:G104"/>
    <mergeCell ref="J107:J109"/>
    <mergeCell ref="B108:G108"/>
    <mergeCell ref="B109:G109"/>
    <mergeCell ref="A110:G110"/>
    <mergeCell ref="B112:I112"/>
    <mergeCell ref="B105:G105"/>
    <mergeCell ref="B106:G106"/>
    <mergeCell ref="B107:G107"/>
    <mergeCell ref="A111:I111"/>
    <mergeCell ref="A93:I93"/>
    <mergeCell ref="A94:I94"/>
    <mergeCell ref="B95:G95"/>
    <mergeCell ref="B96:G96"/>
    <mergeCell ref="B97:G97"/>
    <mergeCell ref="B98:G98"/>
    <mergeCell ref="B99:G99"/>
    <mergeCell ref="A100:G100"/>
    <mergeCell ref="A101:I101"/>
    <mergeCell ref="B42:G42"/>
    <mergeCell ref="B43:G43"/>
    <mergeCell ref="B44:G44"/>
    <mergeCell ref="B45:G45"/>
    <mergeCell ref="B46:G46"/>
    <mergeCell ref="A47:G47"/>
    <mergeCell ref="A48:I48"/>
    <mergeCell ref="B91:H91"/>
    <mergeCell ref="A92:H92"/>
    <mergeCell ref="A49:G49"/>
    <mergeCell ref="B50:G50"/>
    <mergeCell ref="B51:G51"/>
    <mergeCell ref="B52:G52"/>
    <mergeCell ref="B53:G53"/>
    <mergeCell ref="B54:G54"/>
    <mergeCell ref="A55:H55"/>
    <mergeCell ref="A56:I56"/>
    <mergeCell ref="A57:I57"/>
    <mergeCell ref="A58:H58"/>
    <mergeCell ref="B59:H59"/>
    <mergeCell ref="B60:H60"/>
    <mergeCell ref="B61:H61"/>
    <mergeCell ref="A62:H62"/>
    <mergeCell ref="A63:I63"/>
    <mergeCell ref="B19:G19"/>
    <mergeCell ref="H19:I19"/>
    <mergeCell ref="A20:I20"/>
    <mergeCell ref="A21:I21"/>
    <mergeCell ref="B22:G22"/>
    <mergeCell ref="B23:G23"/>
    <mergeCell ref="B24:G24"/>
    <mergeCell ref="B25:G25"/>
    <mergeCell ref="B26:G26"/>
    <mergeCell ref="A14:I14"/>
    <mergeCell ref="B15:G15"/>
    <mergeCell ref="H15:I15"/>
    <mergeCell ref="H16:I16"/>
    <mergeCell ref="B16:G16"/>
    <mergeCell ref="B17:G17"/>
    <mergeCell ref="H17:I17"/>
    <mergeCell ref="B18:G18"/>
    <mergeCell ref="H18:I18"/>
    <mergeCell ref="A37:I37"/>
    <mergeCell ref="A38:G38"/>
    <mergeCell ref="B39:G39"/>
    <mergeCell ref="B40:G40"/>
    <mergeCell ref="B41:G41"/>
    <mergeCell ref="A1:I1"/>
    <mergeCell ref="A2:I2"/>
    <mergeCell ref="A3:I3"/>
    <mergeCell ref="A4:I4"/>
    <mergeCell ref="B5:G5"/>
    <mergeCell ref="H5:I5"/>
    <mergeCell ref="H6:I6"/>
    <mergeCell ref="C11:D11"/>
    <mergeCell ref="E11:I11"/>
    <mergeCell ref="B6:G6"/>
    <mergeCell ref="B7:G7"/>
    <mergeCell ref="H7:I7"/>
    <mergeCell ref="B8:G8"/>
    <mergeCell ref="H8:I8"/>
    <mergeCell ref="A10:I10"/>
    <mergeCell ref="A11:B11"/>
    <mergeCell ref="A12:B12"/>
    <mergeCell ref="C12:D12"/>
    <mergeCell ref="E12:I12"/>
    <mergeCell ref="B27:G27"/>
    <mergeCell ref="B28:G28"/>
    <mergeCell ref="B29:G29"/>
    <mergeCell ref="A30:H30"/>
    <mergeCell ref="A32:I32"/>
    <mergeCell ref="A33:G33"/>
    <mergeCell ref="B34:G34"/>
    <mergeCell ref="B35:G35"/>
    <mergeCell ref="A36:G36"/>
  </mergeCells>
  <printOptions horizontalCentered="1" gridLines="1"/>
  <pageMargins left="0.39370078740157477" right="0.39370078740157477" top="0.78740157480314954" bottom="0.59055118110236215" header="0" footer="0"/>
  <pageSetup paperSize="9" fitToHeight="0" pageOrder="overThenDown" orientation="portrait" cellComments="atEnd"/>
  <headerFooter>
    <oddHeader>&amp;CANEXO I  - D - PLANILHA SERVENTE (44h Segunda à Sexta)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outlinePr summaryBelow="0" summaryRight="0"/>
    <pageSetUpPr fitToPage="1"/>
  </sheetPr>
  <dimension ref="A1:L131"/>
  <sheetViews>
    <sheetView showGridLines="0" workbookViewId="0">
      <selection activeCell="J6" sqref="J6"/>
    </sheetView>
  </sheetViews>
  <sheetFormatPr defaultColWidth="14.42578125" defaultRowHeight="15" customHeight="1"/>
  <cols>
    <col min="10" max="10" width="81.7109375" customWidth="1"/>
  </cols>
  <sheetData>
    <row r="1" spans="1:12" ht="15" customHeight="1">
      <c r="A1" s="480" t="s">
        <v>88</v>
      </c>
      <c r="B1" s="434"/>
      <c r="C1" s="434"/>
      <c r="D1" s="434"/>
      <c r="E1" s="434"/>
      <c r="F1" s="434"/>
      <c r="G1" s="434"/>
      <c r="H1" s="434"/>
      <c r="I1" s="435"/>
      <c r="J1" s="96"/>
      <c r="K1" s="96"/>
      <c r="L1" s="96"/>
    </row>
    <row r="2" spans="1:12" ht="15" customHeight="1">
      <c r="A2" s="483"/>
      <c r="B2" s="434"/>
      <c r="C2" s="434"/>
      <c r="D2" s="434"/>
      <c r="E2" s="434"/>
      <c r="F2" s="434"/>
      <c r="G2" s="434"/>
      <c r="H2" s="434"/>
      <c r="I2" s="435"/>
      <c r="J2" s="96"/>
      <c r="K2" s="96"/>
      <c r="L2" s="96"/>
    </row>
    <row r="3" spans="1:12" ht="15" customHeight="1">
      <c r="A3" s="484" t="s">
        <v>229</v>
      </c>
      <c r="B3" s="434"/>
      <c r="C3" s="434"/>
      <c r="D3" s="434"/>
      <c r="E3" s="434"/>
      <c r="F3" s="434"/>
      <c r="G3" s="434"/>
      <c r="H3" s="434"/>
      <c r="I3" s="435"/>
      <c r="J3" s="96"/>
      <c r="K3" s="96"/>
      <c r="L3" s="96"/>
    </row>
    <row r="4" spans="1:12" ht="15" customHeight="1">
      <c r="A4" s="481" t="s">
        <v>90</v>
      </c>
      <c r="B4" s="434"/>
      <c r="C4" s="434"/>
      <c r="D4" s="434"/>
      <c r="E4" s="434"/>
      <c r="F4" s="434"/>
      <c r="G4" s="434"/>
      <c r="H4" s="434"/>
      <c r="I4" s="435"/>
      <c r="J4" s="97"/>
      <c r="K4" s="96"/>
      <c r="L4" s="96"/>
    </row>
    <row r="5" spans="1:12" ht="15" customHeight="1">
      <c r="A5" s="98" t="s">
        <v>91</v>
      </c>
      <c r="B5" s="479" t="s">
        <v>92</v>
      </c>
      <c r="C5" s="434"/>
      <c r="D5" s="434"/>
      <c r="E5" s="434"/>
      <c r="F5" s="434"/>
      <c r="G5" s="435"/>
      <c r="H5" s="485">
        <v>44197</v>
      </c>
      <c r="I5" s="435"/>
      <c r="J5" s="99"/>
      <c r="K5" s="96"/>
      <c r="L5" s="96"/>
    </row>
    <row r="6" spans="1:12" ht="15" customHeight="1">
      <c r="A6" s="98" t="s">
        <v>93</v>
      </c>
      <c r="B6" s="479" t="s">
        <v>94</v>
      </c>
      <c r="C6" s="434"/>
      <c r="D6" s="434"/>
      <c r="E6" s="434"/>
      <c r="F6" s="434"/>
      <c r="G6" s="435"/>
      <c r="H6" s="486" t="s">
        <v>95</v>
      </c>
      <c r="I6" s="435"/>
      <c r="J6" s="97"/>
      <c r="K6" s="96"/>
      <c r="L6" s="96"/>
    </row>
    <row r="7" spans="1:12" ht="15" customHeight="1">
      <c r="A7" s="98" t="s">
        <v>96</v>
      </c>
      <c r="B7" s="479" t="s">
        <v>97</v>
      </c>
      <c r="C7" s="434"/>
      <c r="D7" s="434"/>
      <c r="E7" s="434"/>
      <c r="F7" s="434"/>
      <c r="G7" s="435"/>
      <c r="H7" s="486">
        <v>2021</v>
      </c>
      <c r="I7" s="435"/>
      <c r="J7" s="97"/>
      <c r="K7" s="96"/>
      <c r="L7" s="96"/>
    </row>
    <row r="8" spans="1:12" ht="15" customHeight="1">
      <c r="A8" s="98" t="s">
        <v>98</v>
      </c>
      <c r="B8" s="479" t="s">
        <v>99</v>
      </c>
      <c r="C8" s="434"/>
      <c r="D8" s="434"/>
      <c r="E8" s="434"/>
      <c r="F8" s="434"/>
      <c r="G8" s="435"/>
      <c r="H8" s="486">
        <v>30</v>
      </c>
      <c r="I8" s="435"/>
      <c r="J8" s="97"/>
      <c r="K8" s="96"/>
      <c r="L8" s="96"/>
    </row>
    <row r="9" spans="1:12" ht="15" customHeight="1">
      <c r="A9" s="96"/>
      <c r="B9" s="96"/>
      <c r="C9" s="96"/>
      <c r="D9" s="96"/>
      <c r="E9" s="96"/>
      <c r="F9" s="96"/>
      <c r="G9" s="96"/>
      <c r="H9" s="96"/>
      <c r="I9" s="96"/>
      <c r="J9" s="97"/>
      <c r="K9" s="96"/>
      <c r="L9" s="96"/>
    </row>
    <row r="10" spans="1:12" ht="15" customHeight="1">
      <c r="A10" s="487" t="s">
        <v>100</v>
      </c>
      <c r="B10" s="430"/>
      <c r="C10" s="430"/>
      <c r="D10" s="430"/>
      <c r="E10" s="430"/>
      <c r="F10" s="430"/>
      <c r="G10" s="430"/>
      <c r="H10" s="430"/>
      <c r="I10" s="431"/>
      <c r="J10" s="97"/>
      <c r="K10" s="96"/>
      <c r="L10" s="96"/>
    </row>
    <row r="11" spans="1:12" ht="15" customHeight="1">
      <c r="A11" s="486" t="s">
        <v>101</v>
      </c>
      <c r="B11" s="435"/>
      <c r="C11" s="486" t="s">
        <v>102</v>
      </c>
      <c r="D11" s="435"/>
      <c r="E11" s="486" t="s">
        <v>103</v>
      </c>
      <c r="F11" s="434"/>
      <c r="G11" s="434"/>
      <c r="H11" s="434"/>
      <c r="I11" s="435"/>
      <c r="J11" s="97"/>
      <c r="K11" s="96"/>
      <c r="L11" s="96"/>
    </row>
    <row r="12" spans="1:12" ht="15" customHeight="1">
      <c r="A12" s="486" t="s">
        <v>104</v>
      </c>
      <c r="B12" s="435"/>
      <c r="C12" s="486" t="s">
        <v>105</v>
      </c>
      <c r="D12" s="435"/>
      <c r="E12" s="488"/>
      <c r="F12" s="434"/>
      <c r="G12" s="434"/>
      <c r="H12" s="434"/>
      <c r="I12" s="435"/>
      <c r="J12" s="97"/>
      <c r="K12" s="96"/>
      <c r="L12" s="96"/>
    </row>
    <row r="13" spans="1:12" ht="15" customHeight="1">
      <c r="A13" s="96"/>
      <c r="B13" s="96"/>
      <c r="C13" s="96"/>
      <c r="D13" s="96"/>
      <c r="E13" s="96"/>
      <c r="F13" s="96"/>
      <c r="G13" s="96"/>
      <c r="H13" s="96"/>
      <c r="I13" s="96"/>
      <c r="J13" s="97"/>
      <c r="K13" s="96"/>
      <c r="L13" s="96"/>
    </row>
    <row r="14" spans="1:12" ht="15" customHeight="1">
      <c r="A14" s="487" t="s">
        <v>106</v>
      </c>
      <c r="B14" s="430"/>
      <c r="C14" s="430"/>
      <c r="D14" s="430"/>
      <c r="E14" s="430"/>
      <c r="F14" s="430"/>
      <c r="G14" s="430"/>
      <c r="H14" s="430"/>
      <c r="I14" s="431"/>
      <c r="J14" s="97"/>
      <c r="K14" s="96"/>
      <c r="L14" s="96"/>
    </row>
    <row r="15" spans="1:12" ht="15" customHeight="1">
      <c r="A15" s="98">
        <v>1</v>
      </c>
      <c r="B15" s="479" t="s">
        <v>107</v>
      </c>
      <c r="C15" s="434"/>
      <c r="D15" s="434"/>
      <c r="E15" s="434"/>
      <c r="F15" s="434"/>
      <c r="G15" s="435"/>
      <c r="H15" s="486" t="s">
        <v>104</v>
      </c>
      <c r="I15" s="435"/>
      <c r="J15" s="97"/>
      <c r="K15" s="96"/>
      <c r="L15" s="96"/>
    </row>
    <row r="16" spans="1:12" ht="15" customHeight="1">
      <c r="A16" s="98">
        <v>2</v>
      </c>
      <c r="B16" s="479" t="s">
        <v>108</v>
      </c>
      <c r="C16" s="434"/>
      <c r="D16" s="434"/>
      <c r="E16" s="434"/>
      <c r="F16" s="434"/>
      <c r="G16" s="435"/>
      <c r="H16" s="499">
        <v>1184603</v>
      </c>
      <c r="I16" s="435"/>
      <c r="J16" s="97"/>
      <c r="K16" s="96"/>
      <c r="L16" s="96"/>
    </row>
    <row r="17" spans="1:12" ht="15" customHeight="1">
      <c r="A17" s="98">
        <v>3</v>
      </c>
      <c r="B17" s="479" t="s">
        <v>110</v>
      </c>
      <c r="C17" s="434"/>
      <c r="D17" s="434"/>
      <c r="E17" s="434"/>
      <c r="F17" s="434"/>
      <c r="G17" s="435"/>
      <c r="H17" s="489"/>
      <c r="I17" s="435"/>
      <c r="J17" s="100"/>
      <c r="K17" s="96"/>
      <c r="L17" s="96"/>
    </row>
    <row r="18" spans="1:12" ht="15" customHeight="1">
      <c r="A18" s="98">
        <v>4</v>
      </c>
      <c r="B18" s="479" t="s">
        <v>111</v>
      </c>
      <c r="C18" s="434"/>
      <c r="D18" s="434"/>
      <c r="E18" s="434"/>
      <c r="F18" s="434"/>
      <c r="G18" s="435"/>
      <c r="H18" s="480" t="s">
        <v>84</v>
      </c>
      <c r="I18" s="435"/>
      <c r="J18" s="97"/>
      <c r="K18" s="96"/>
      <c r="L18" s="96"/>
    </row>
    <row r="19" spans="1:12" ht="15" customHeight="1">
      <c r="A19" s="98">
        <v>5</v>
      </c>
      <c r="B19" s="479" t="s">
        <v>112</v>
      </c>
      <c r="C19" s="434"/>
      <c r="D19" s="434"/>
      <c r="E19" s="434"/>
      <c r="F19" s="434"/>
      <c r="G19" s="435"/>
      <c r="H19" s="485">
        <v>44197</v>
      </c>
      <c r="I19" s="435"/>
      <c r="J19" s="99"/>
      <c r="K19" s="96"/>
      <c r="L19" s="96"/>
    </row>
    <row r="20" spans="1:12" ht="15" customHeight="1">
      <c r="A20" s="482"/>
      <c r="B20" s="430"/>
      <c r="C20" s="430"/>
      <c r="D20" s="430"/>
      <c r="E20" s="430"/>
      <c r="F20" s="430"/>
      <c r="G20" s="430"/>
      <c r="H20" s="430"/>
      <c r="I20" s="431"/>
      <c r="J20" s="96"/>
      <c r="K20" s="96"/>
      <c r="L20" s="96"/>
    </row>
    <row r="21" spans="1:12" ht="15" customHeight="1">
      <c r="A21" s="481" t="s">
        <v>113</v>
      </c>
      <c r="B21" s="434"/>
      <c r="C21" s="434"/>
      <c r="D21" s="434"/>
      <c r="E21" s="434"/>
      <c r="F21" s="434"/>
      <c r="G21" s="434"/>
      <c r="H21" s="434"/>
      <c r="I21" s="435"/>
      <c r="J21" s="101" t="s">
        <v>114</v>
      </c>
      <c r="K21" s="96"/>
      <c r="L21" s="96"/>
    </row>
    <row r="22" spans="1:12" ht="15" customHeight="1">
      <c r="A22" s="102">
        <v>1</v>
      </c>
      <c r="B22" s="480" t="s">
        <v>115</v>
      </c>
      <c r="C22" s="434"/>
      <c r="D22" s="434"/>
      <c r="E22" s="434"/>
      <c r="F22" s="434"/>
      <c r="G22" s="435"/>
      <c r="H22" s="102" t="s">
        <v>116</v>
      </c>
      <c r="I22" s="102" t="s">
        <v>117</v>
      </c>
      <c r="J22" s="102"/>
      <c r="K22" s="96"/>
      <c r="L22" s="96"/>
    </row>
    <row r="23" spans="1:12" ht="15" customHeight="1">
      <c r="A23" s="102" t="s">
        <v>91</v>
      </c>
      <c r="B23" s="479" t="s">
        <v>118</v>
      </c>
      <c r="C23" s="434"/>
      <c r="D23" s="434"/>
      <c r="E23" s="434"/>
      <c r="F23" s="434"/>
      <c r="G23" s="435"/>
      <c r="H23" s="103"/>
      <c r="I23" s="104">
        <f>H17</f>
        <v>0</v>
      </c>
      <c r="J23" s="105"/>
      <c r="K23" s="96"/>
      <c r="L23" s="96"/>
    </row>
    <row r="24" spans="1:12" ht="15" customHeight="1">
      <c r="A24" s="102" t="s">
        <v>93</v>
      </c>
      <c r="B24" s="479" t="s">
        <v>119</v>
      </c>
      <c r="C24" s="434"/>
      <c r="D24" s="434"/>
      <c r="E24" s="434"/>
      <c r="F24" s="434"/>
      <c r="G24" s="435"/>
      <c r="H24" s="127"/>
      <c r="I24" s="107">
        <f>I23*H24</f>
        <v>0</v>
      </c>
      <c r="J24" s="105"/>
      <c r="K24" s="96"/>
      <c r="L24" s="96"/>
    </row>
    <row r="25" spans="1:12" ht="15" customHeight="1">
      <c r="A25" s="102" t="s">
        <v>96</v>
      </c>
      <c r="B25" s="479" t="s">
        <v>120</v>
      </c>
      <c r="C25" s="434"/>
      <c r="D25" s="434"/>
      <c r="E25" s="434"/>
      <c r="F25" s="434"/>
      <c r="G25" s="435"/>
      <c r="H25" s="106"/>
      <c r="I25" s="107">
        <f>H25*I23</f>
        <v>0</v>
      </c>
      <c r="J25" s="108"/>
      <c r="K25" s="96"/>
      <c r="L25" s="96"/>
    </row>
    <row r="26" spans="1:12" ht="15" customHeight="1">
      <c r="A26" s="102" t="s">
        <v>98</v>
      </c>
      <c r="B26" s="479" t="s">
        <v>121</v>
      </c>
      <c r="C26" s="434"/>
      <c r="D26" s="434"/>
      <c r="E26" s="434"/>
      <c r="F26" s="434"/>
      <c r="G26" s="435"/>
      <c r="H26" s="106"/>
      <c r="I26" s="107">
        <v>0</v>
      </c>
      <c r="J26" s="108"/>
      <c r="K26" s="96"/>
      <c r="L26" s="96"/>
    </row>
    <row r="27" spans="1:12" ht="15" customHeight="1">
      <c r="A27" s="102" t="s">
        <v>122</v>
      </c>
      <c r="B27" s="479" t="s">
        <v>123</v>
      </c>
      <c r="C27" s="434"/>
      <c r="D27" s="434"/>
      <c r="E27" s="434"/>
      <c r="F27" s="434"/>
      <c r="G27" s="435"/>
      <c r="H27" s="106"/>
      <c r="I27" s="107">
        <v>0</v>
      </c>
      <c r="J27" s="108"/>
      <c r="K27" s="96"/>
      <c r="L27" s="96"/>
    </row>
    <row r="28" spans="1:12" ht="15" customHeight="1">
      <c r="A28" s="102" t="s">
        <v>124</v>
      </c>
      <c r="B28" s="479" t="s">
        <v>125</v>
      </c>
      <c r="C28" s="434"/>
      <c r="D28" s="434"/>
      <c r="E28" s="434"/>
      <c r="F28" s="434"/>
      <c r="G28" s="435"/>
      <c r="H28" s="106"/>
      <c r="I28" s="107">
        <v>0</v>
      </c>
      <c r="J28" s="108"/>
      <c r="K28" s="96"/>
      <c r="L28" s="96"/>
    </row>
    <row r="29" spans="1:12" ht="15" customHeight="1">
      <c r="A29" s="102" t="s">
        <v>126</v>
      </c>
      <c r="B29" s="479" t="s">
        <v>127</v>
      </c>
      <c r="C29" s="434"/>
      <c r="D29" s="434"/>
      <c r="E29" s="434"/>
      <c r="F29" s="434"/>
      <c r="G29" s="435"/>
      <c r="H29" s="106"/>
      <c r="I29" s="107">
        <v>0</v>
      </c>
      <c r="J29" s="108"/>
      <c r="K29" s="96"/>
      <c r="L29" s="96"/>
    </row>
    <row r="30" spans="1:12" ht="15" customHeight="1">
      <c r="A30" s="480" t="s">
        <v>128</v>
      </c>
      <c r="B30" s="434"/>
      <c r="C30" s="434"/>
      <c r="D30" s="434"/>
      <c r="E30" s="434"/>
      <c r="F30" s="434"/>
      <c r="G30" s="434"/>
      <c r="H30" s="435"/>
      <c r="I30" s="109">
        <f>TRUNC(SUM(I23:I29),2)</f>
        <v>0</v>
      </c>
      <c r="J30" s="110"/>
      <c r="K30" s="96"/>
      <c r="L30" s="96"/>
    </row>
    <row r="31" spans="1:12" ht="15" customHeight="1">
      <c r="A31" s="103"/>
      <c r="B31" s="103"/>
      <c r="C31" s="103"/>
      <c r="D31" s="103"/>
      <c r="E31" s="103"/>
      <c r="F31" s="103"/>
      <c r="G31" s="103"/>
      <c r="H31" s="103"/>
      <c r="I31" s="111"/>
      <c r="J31" s="111"/>
      <c r="K31" s="96"/>
      <c r="L31" s="96"/>
    </row>
    <row r="32" spans="1:12" ht="15" customHeight="1">
      <c r="A32" s="481" t="s">
        <v>129</v>
      </c>
      <c r="B32" s="434"/>
      <c r="C32" s="434"/>
      <c r="D32" s="434"/>
      <c r="E32" s="434"/>
      <c r="F32" s="434"/>
      <c r="G32" s="434"/>
      <c r="H32" s="434"/>
      <c r="I32" s="435"/>
      <c r="J32" s="112" t="s">
        <v>114</v>
      </c>
      <c r="K32" s="96"/>
      <c r="L32" s="96"/>
    </row>
    <row r="33" spans="1:12" ht="15" customHeight="1">
      <c r="A33" s="480" t="s">
        <v>130</v>
      </c>
      <c r="B33" s="434"/>
      <c r="C33" s="434"/>
      <c r="D33" s="434"/>
      <c r="E33" s="434"/>
      <c r="F33" s="434"/>
      <c r="G33" s="435"/>
      <c r="H33" s="102" t="s">
        <v>116</v>
      </c>
      <c r="I33" s="102" t="s">
        <v>117</v>
      </c>
      <c r="J33" s="102"/>
      <c r="K33" s="96"/>
      <c r="L33" s="96"/>
    </row>
    <row r="34" spans="1:12" ht="15" customHeight="1">
      <c r="A34" s="102" t="s">
        <v>91</v>
      </c>
      <c r="B34" s="479" t="s">
        <v>230</v>
      </c>
      <c r="C34" s="434"/>
      <c r="D34" s="434"/>
      <c r="E34" s="434"/>
      <c r="F34" s="434"/>
      <c r="G34" s="435"/>
      <c r="H34" s="754"/>
      <c r="I34" s="107">
        <f>$I$30*H34</f>
        <v>0</v>
      </c>
      <c r="J34" s="113"/>
      <c r="K34" s="96"/>
      <c r="L34" s="96"/>
    </row>
    <row r="35" spans="1:12" ht="15" customHeight="1">
      <c r="A35" s="102" t="s">
        <v>93</v>
      </c>
      <c r="B35" s="479" t="s">
        <v>132</v>
      </c>
      <c r="C35" s="434"/>
      <c r="D35" s="434"/>
      <c r="E35" s="434"/>
      <c r="F35" s="434"/>
      <c r="G35" s="435"/>
      <c r="H35" s="755"/>
      <c r="I35" s="107">
        <f>H35*I30</f>
        <v>0</v>
      </c>
      <c r="J35" s="113"/>
      <c r="K35" s="96"/>
      <c r="L35" s="96"/>
    </row>
    <row r="36" spans="1:12" ht="15" customHeight="1">
      <c r="A36" s="480" t="s">
        <v>133</v>
      </c>
      <c r="B36" s="434"/>
      <c r="C36" s="434"/>
      <c r="D36" s="434"/>
      <c r="E36" s="434"/>
      <c r="F36" s="434"/>
      <c r="G36" s="435"/>
      <c r="H36" s="114">
        <f>TRUNC(SUM(H34:H35),4)</f>
        <v>0</v>
      </c>
      <c r="I36" s="115">
        <f>TRUNC(SUM(I34:I35),2)</f>
        <v>0</v>
      </c>
      <c r="J36" s="116" t="s">
        <v>134</v>
      </c>
      <c r="K36" s="96"/>
      <c r="L36" s="96"/>
    </row>
    <row r="37" spans="1:12" ht="15" customHeight="1">
      <c r="A37" s="482"/>
      <c r="B37" s="430"/>
      <c r="C37" s="430"/>
      <c r="D37" s="430"/>
      <c r="E37" s="430"/>
      <c r="F37" s="430"/>
      <c r="G37" s="430"/>
      <c r="H37" s="430"/>
      <c r="I37" s="431"/>
      <c r="J37" s="117"/>
      <c r="K37" s="118" t="s">
        <v>135</v>
      </c>
      <c r="L37" s="119">
        <f>I30+I36</f>
        <v>0</v>
      </c>
    </row>
    <row r="38" spans="1:12" ht="15" customHeight="1">
      <c r="A38" s="480" t="s">
        <v>136</v>
      </c>
      <c r="B38" s="434"/>
      <c r="C38" s="434"/>
      <c r="D38" s="434"/>
      <c r="E38" s="434"/>
      <c r="F38" s="434"/>
      <c r="G38" s="435"/>
      <c r="H38" s="102" t="s">
        <v>116</v>
      </c>
      <c r="I38" s="102" t="s">
        <v>117</v>
      </c>
      <c r="J38" s="112" t="s">
        <v>114</v>
      </c>
      <c r="K38" s="96"/>
      <c r="L38" s="96"/>
    </row>
    <row r="39" spans="1:12" ht="15" customHeight="1">
      <c r="A39" s="102" t="s">
        <v>91</v>
      </c>
      <c r="B39" s="479" t="s">
        <v>137</v>
      </c>
      <c r="C39" s="434"/>
      <c r="D39" s="434"/>
      <c r="E39" s="434"/>
      <c r="F39" s="434"/>
      <c r="G39" s="435"/>
      <c r="H39" s="106">
        <v>0.2</v>
      </c>
      <c r="I39" s="107">
        <f t="shared" ref="I39:I46" si="0">H39*$L$37</f>
        <v>0</v>
      </c>
      <c r="J39" s="113"/>
      <c r="K39" s="96"/>
      <c r="L39" s="96"/>
    </row>
    <row r="40" spans="1:12" ht="12.75">
      <c r="A40" s="102" t="s">
        <v>93</v>
      </c>
      <c r="B40" s="479" t="s">
        <v>138</v>
      </c>
      <c r="C40" s="434"/>
      <c r="D40" s="434"/>
      <c r="E40" s="434"/>
      <c r="F40" s="434"/>
      <c r="G40" s="435"/>
      <c r="H40" s="106">
        <v>2.5000000000000001E-2</v>
      </c>
      <c r="I40" s="107">
        <f t="shared" si="0"/>
        <v>0</v>
      </c>
      <c r="J40" s="113"/>
      <c r="K40" s="96"/>
      <c r="L40" s="96"/>
    </row>
    <row r="41" spans="1:12" ht="12.75">
      <c r="A41" s="102" t="s">
        <v>96</v>
      </c>
      <c r="B41" s="479" t="s">
        <v>139</v>
      </c>
      <c r="C41" s="434"/>
      <c r="D41" s="434"/>
      <c r="E41" s="434"/>
      <c r="F41" s="434"/>
      <c r="G41" s="435"/>
      <c r="H41" s="120"/>
      <c r="I41" s="107">
        <f t="shared" si="0"/>
        <v>0</v>
      </c>
      <c r="J41" s="113"/>
      <c r="K41" s="96"/>
      <c r="L41" s="96"/>
    </row>
    <row r="42" spans="1:12" ht="12.75">
      <c r="A42" s="102" t="s">
        <v>98</v>
      </c>
      <c r="B42" s="479" t="s">
        <v>140</v>
      </c>
      <c r="C42" s="434"/>
      <c r="D42" s="434"/>
      <c r="E42" s="434"/>
      <c r="F42" s="434"/>
      <c r="G42" s="435"/>
      <c r="H42" s="106">
        <v>1.4999999999999999E-2</v>
      </c>
      <c r="I42" s="107">
        <f t="shared" si="0"/>
        <v>0</v>
      </c>
      <c r="J42" s="113"/>
      <c r="K42" s="96"/>
      <c r="L42" s="96"/>
    </row>
    <row r="43" spans="1:12" ht="12.75">
      <c r="A43" s="102" t="s">
        <v>122</v>
      </c>
      <c r="B43" s="479" t="s">
        <v>141</v>
      </c>
      <c r="C43" s="434"/>
      <c r="D43" s="434"/>
      <c r="E43" s="434"/>
      <c r="F43" s="434"/>
      <c r="G43" s="435"/>
      <c r="H43" s="106">
        <v>0.01</v>
      </c>
      <c r="I43" s="107">
        <f t="shared" si="0"/>
        <v>0</v>
      </c>
      <c r="J43" s="113"/>
      <c r="K43" s="96"/>
      <c r="L43" s="96"/>
    </row>
    <row r="44" spans="1:12" ht="12.75">
      <c r="A44" s="102" t="s">
        <v>124</v>
      </c>
      <c r="B44" s="479" t="s">
        <v>142</v>
      </c>
      <c r="C44" s="434"/>
      <c r="D44" s="434"/>
      <c r="E44" s="434"/>
      <c r="F44" s="434"/>
      <c r="G44" s="435"/>
      <c r="H44" s="106">
        <v>6.0000000000000001E-3</v>
      </c>
      <c r="I44" s="107">
        <f t="shared" si="0"/>
        <v>0</v>
      </c>
      <c r="J44" s="113"/>
      <c r="K44" s="96"/>
      <c r="L44" s="96"/>
    </row>
    <row r="45" spans="1:12" ht="12.75">
      <c r="A45" s="102" t="s">
        <v>126</v>
      </c>
      <c r="B45" s="479" t="s">
        <v>143</v>
      </c>
      <c r="C45" s="434"/>
      <c r="D45" s="434"/>
      <c r="E45" s="434"/>
      <c r="F45" s="434"/>
      <c r="G45" s="435"/>
      <c r="H45" s="106">
        <v>2E-3</v>
      </c>
      <c r="I45" s="107">
        <f t="shared" si="0"/>
        <v>0</v>
      </c>
      <c r="J45" s="113"/>
      <c r="K45" s="96"/>
      <c r="L45" s="96"/>
    </row>
    <row r="46" spans="1:12" ht="12.75">
      <c r="A46" s="102" t="s">
        <v>144</v>
      </c>
      <c r="B46" s="479" t="s">
        <v>145</v>
      </c>
      <c r="C46" s="434"/>
      <c r="D46" s="434"/>
      <c r="E46" s="434"/>
      <c r="F46" s="434"/>
      <c r="G46" s="435"/>
      <c r="H46" s="106">
        <v>0.08</v>
      </c>
      <c r="I46" s="107">
        <f t="shared" si="0"/>
        <v>0</v>
      </c>
      <c r="J46" s="113"/>
      <c r="K46" s="96"/>
      <c r="L46" s="96"/>
    </row>
    <row r="47" spans="1:12" ht="12.75">
      <c r="A47" s="480" t="s">
        <v>146</v>
      </c>
      <c r="B47" s="434"/>
      <c r="C47" s="434"/>
      <c r="D47" s="434"/>
      <c r="E47" s="434"/>
      <c r="F47" s="434"/>
      <c r="G47" s="435"/>
      <c r="H47" s="114">
        <f>SUM(H39:H46)</f>
        <v>0.33800000000000002</v>
      </c>
      <c r="I47" s="115">
        <f>TRUNC(SUM(I39:I46),2)</f>
        <v>0</v>
      </c>
      <c r="J47" s="116" t="s">
        <v>147</v>
      </c>
      <c r="K47" s="96"/>
      <c r="L47" s="96"/>
    </row>
    <row r="48" spans="1:12" ht="12.75">
      <c r="A48" s="482"/>
      <c r="B48" s="430"/>
      <c r="C48" s="430"/>
      <c r="D48" s="430"/>
      <c r="E48" s="430"/>
      <c r="F48" s="430"/>
      <c r="G48" s="430"/>
      <c r="H48" s="430"/>
      <c r="I48" s="431"/>
      <c r="J48" s="117"/>
      <c r="K48" s="96"/>
      <c r="L48" s="96"/>
    </row>
    <row r="49" spans="1:12" ht="12.75">
      <c r="A49" s="480" t="s">
        <v>148</v>
      </c>
      <c r="B49" s="434"/>
      <c r="C49" s="434"/>
      <c r="D49" s="434"/>
      <c r="E49" s="434"/>
      <c r="F49" s="434"/>
      <c r="G49" s="435"/>
      <c r="H49" s="114"/>
      <c r="I49" s="102" t="s">
        <v>117</v>
      </c>
      <c r="J49" s="112" t="s">
        <v>114</v>
      </c>
      <c r="K49" s="96"/>
      <c r="L49" s="96"/>
    </row>
    <row r="50" spans="1:12" ht="12.75">
      <c r="A50" s="102" t="s">
        <v>91</v>
      </c>
      <c r="B50" s="490" t="s">
        <v>149</v>
      </c>
      <c r="C50" s="434"/>
      <c r="D50" s="434"/>
      <c r="E50" s="434"/>
      <c r="F50" s="434"/>
      <c r="G50" s="435"/>
      <c r="H50" s="98" t="s">
        <v>150</v>
      </c>
      <c r="I50" s="107"/>
      <c r="J50" s="121"/>
      <c r="K50" s="96"/>
      <c r="L50" s="96"/>
    </row>
    <row r="51" spans="1:12" ht="12.75">
      <c r="A51" s="102" t="s">
        <v>93</v>
      </c>
      <c r="B51" s="490" t="s">
        <v>151</v>
      </c>
      <c r="C51" s="434"/>
      <c r="D51" s="434"/>
      <c r="E51" s="434"/>
      <c r="F51" s="434"/>
      <c r="G51" s="435"/>
      <c r="H51" s="98" t="s">
        <v>150</v>
      </c>
      <c r="I51" s="107"/>
      <c r="J51" s="121"/>
      <c r="K51" s="96"/>
      <c r="L51" s="96"/>
    </row>
    <row r="52" spans="1:12" ht="12.75">
      <c r="A52" s="102" t="s">
        <v>96</v>
      </c>
      <c r="B52" s="490" t="s">
        <v>152</v>
      </c>
      <c r="C52" s="434"/>
      <c r="D52" s="434"/>
      <c r="E52" s="434"/>
      <c r="F52" s="434"/>
      <c r="G52" s="435"/>
      <c r="H52" s="98" t="s">
        <v>150</v>
      </c>
      <c r="I52" s="107"/>
      <c r="J52" s="113"/>
      <c r="K52" s="96"/>
      <c r="L52" s="96"/>
    </row>
    <row r="53" spans="1:12" ht="12.75">
      <c r="A53" s="102" t="s">
        <v>122</v>
      </c>
      <c r="B53" s="479" t="s">
        <v>153</v>
      </c>
      <c r="C53" s="434"/>
      <c r="D53" s="434"/>
      <c r="E53" s="434"/>
      <c r="F53" s="434"/>
      <c r="G53" s="435"/>
      <c r="H53" s="98" t="s">
        <v>150</v>
      </c>
      <c r="I53" s="122"/>
      <c r="J53" s="123"/>
      <c r="K53" s="96"/>
      <c r="L53" s="96"/>
    </row>
    <row r="54" spans="1:12" ht="12.75">
      <c r="A54" s="102" t="s">
        <v>126</v>
      </c>
      <c r="B54" s="490" t="s">
        <v>154</v>
      </c>
      <c r="C54" s="434"/>
      <c r="D54" s="434"/>
      <c r="E54" s="434"/>
      <c r="F54" s="434"/>
      <c r="G54" s="435"/>
      <c r="H54" s="98" t="s">
        <v>150</v>
      </c>
      <c r="I54" s="107"/>
      <c r="J54" s="123"/>
      <c r="K54" s="96"/>
      <c r="L54" s="96"/>
    </row>
    <row r="55" spans="1:12" ht="12.75">
      <c r="A55" s="480" t="s">
        <v>155</v>
      </c>
      <c r="B55" s="434"/>
      <c r="C55" s="434"/>
      <c r="D55" s="434"/>
      <c r="E55" s="434"/>
      <c r="F55" s="434"/>
      <c r="G55" s="434"/>
      <c r="H55" s="435"/>
      <c r="I55" s="115">
        <f>SUM(I50:I54)</f>
        <v>0</v>
      </c>
      <c r="J55" s="124" t="s">
        <v>156</v>
      </c>
      <c r="K55" s="96"/>
      <c r="L55" s="96"/>
    </row>
    <row r="56" spans="1:12" ht="12.75">
      <c r="A56" s="482"/>
      <c r="B56" s="430"/>
      <c r="C56" s="430"/>
      <c r="D56" s="430"/>
      <c r="E56" s="430"/>
      <c r="F56" s="430"/>
      <c r="G56" s="430"/>
      <c r="H56" s="430"/>
      <c r="I56" s="431"/>
      <c r="J56" s="117"/>
      <c r="K56" s="96"/>
      <c r="L56" s="96"/>
    </row>
    <row r="57" spans="1:12" ht="12.75">
      <c r="A57" s="497" t="s">
        <v>157</v>
      </c>
      <c r="B57" s="434"/>
      <c r="C57" s="434"/>
      <c r="D57" s="434"/>
      <c r="E57" s="434"/>
      <c r="F57" s="434"/>
      <c r="G57" s="434"/>
      <c r="H57" s="434"/>
      <c r="I57" s="435"/>
      <c r="J57" s="112" t="s">
        <v>114</v>
      </c>
      <c r="K57" s="96"/>
      <c r="L57" s="96"/>
    </row>
    <row r="58" spans="1:12" ht="12.75">
      <c r="A58" s="480" t="s">
        <v>158</v>
      </c>
      <c r="B58" s="434"/>
      <c r="C58" s="434"/>
      <c r="D58" s="434"/>
      <c r="E58" s="434"/>
      <c r="F58" s="434"/>
      <c r="G58" s="434"/>
      <c r="H58" s="435"/>
      <c r="I58" s="102" t="s">
        <v>117</v>
      </c>
      <c r="J58" s="102"/>
      <c r="K58" s="96"/>
      <c r="L58" s="96"/>
    </row>
    <row r="59" spans="1:12" ht="12.75">
      <c r="A59" s="102" t="s">
        <v>159</v>
      </c>
      <c r="B59" s="486" t="s">
        <v>160</v>
      </c>
      <c r="C59" s="434"/>
      <c r="D59" s="434"/>
      <c r="E59" s="434"/>
      <c r="F59" s="434"/>
      <c r="G59" s="434"/>
      <c r="H59" s="435"/>
      <c r="I59" s="104">
        <f>I36</f>
        <v>0</v>
      </c>
      <c r="J59" s="125"/>
      <c r="K59" s="96"/>
      <c r="L59" s="96"/>
    </row>
    <row r="60" spans="1:12" ht="12.75">
      <c r="A60" s="102" t="s">
        <v>161</v>
      </c>
      <c r="B60" s="486" t="s">
        <v>162</v>
      </c>
      <c r="C60" s="434"/>
      <c r="D60" s="434"/>
      <c r="E60" s="434"/>
      <c r="F60" s="434"/>
      <c r="G60" s="434"/>
      <c r="H60" s="435"/>
      <c r="I60" s="104">
        <f>I47</f>
        <v>0</v>
      </c>
      <c r="J60" s="125"/>
      <c r="K60" s="96"/>
      <c r="L60" s="96"/>
    </row>
    <row r="61" spans="1:12" ht="12.75">
      <c r="A61" s="102" t="s">
        <v>163</v>
      </c>
      <c r="B61" s="486" t="s">
        <v>164</v>
      </c>
      <c r="C61" s="434"/>
      <c r="D61" s="434"/>
      <c r="E61" s="434"/>
      <c r="F61" s="434"/>
      <c r="G61" s="434"/>
      <c r="H61" s="435"/>
      <c r="I61" s="104">
        <f>I55</f>
        <v>0</v>
      </c>
      <c r="J61" s="125"/>
      <c r="K61" s="96"/>
      <c r="L61" s="96"/>
    </row>
    <row r="62" spans="1:12" ht="12.75">
      <c r="A62" s="480" t="s">
        <v>165</v>
      </c>
      <c r="B62" s="434"/>
      <c r="C62" s="434"/>
      <c r="D62" s="434"/>
      <c r="E62" s="434"/>
      <c r="F62" s="434"/>
      <c r="G62" s="434"/>
      <c r="H62" s="435"/>
      <c r="I62" s="109">
        <f>TRUNC(SUM(I59:I61),2)</f>
        <v>0</v>
      </c>
      <c r="J62" s="126" t="s">
        <v>166</v>
      </c>
      <c r="K62" s="96"/>
      <c r="L62" s="96"/>
    </row>
    <row r="63" spans="1:12" ht="12.75">
      <c r="A63" s="482"/>
      <c r="B63" s="430"/>
      <c r="C63" s="430"/>
      <c r="D63" s="430"/>
      <c r="E63" s="430"/>
      <c r="F63" s="430"/>
      <c r="G63" s="430"/>
      <c r="H63" s="430"/>
      <c r="I63" s="431"/>
      <c r="J63" s="117"/>
      <c r="K63" s="96"/>
      <c r="L63" s="96"/>
    </row>
    <row r="64" spans="1:12" ht="12.75">
      <c r="A64" s="481" t="s">
        <v>167</v>
      </c>
      <c r="B64" s="434"/>
      <c r="C64" s="434"/>
      <c r="D64" s="434"/>
      <c r="E64" s="434"/>
      <c r="F64" s="434"/>
      <c r="G64" s="434"/>
      <c r="H64" s="434"/>
      <c r="I64" s="435"/>
      <c r="J64" s="112" t="s">
        <v>114</v>
      </c>
      <c r="K64" s="96"/>
      <c r="L64" s="96"/>
    </row>
    <row r="65" spans="1:12" ht="12.75">
      <c r="A65" s="102">
        <v>3</v>
      </c>
      <c r="B65" s="480" t="s">
        <v>168</v>
      </c>
      <c r="C65" s="434"/>
      <c r="D65" s="434"/>
      <c r="E65" s="434"/>
      <c r="F65" s="434"/>
      <c r="G65" s="435"/>
      <c r="H65" s="102" t="s">
        <v>116</v>
      </c>
      <c r="I65" s="102" t="s">
        <v>117</v>
      </c>
      <c r="J65" s="102"/>
      <c r="K65" s="96"/>
      <c r="L65" s="96"/>
    </row>
    <row r="66" spans="1:12" ht="12.75">
      <c r="A66" s="102" t="s">
        <v>91</v>
      </c>
      <c r="B66" s="479" t="s">
        <v>169</v>
      </c>
      <c r="C66" s="434"/>
      <c r="D66" s="434"/>
      <c r="E66" s="434"/>
      <c r="F66" s="434"/>
      <c r="G66" s="435"/>
      <c r="H66" s="106"/>
      <c r="I66" s="107">
        <f>$I$30*H66</f>
        <v>0</v>
      </c>
      <c r="J66" s="121"/>
      <c r="K66" s="96"/>
      <c r="L66" s="96"/>
    </row>
    <row r="67" spans="1:12" ht="12.75">
      <c r="A67" s="102" t="s">
        <v>93</v>
      </c>
      <c r="B67" s="479" t="s">
        <v>170</v>
      </c>
      <c r="C67" s="434"/>
      <c r="D67" s="434"/>
      <c r="E67" s="434"/>
      <c r="F67" s="434"/>
      <c r="G67" s="435"/>
      <c r="H67" s="106"/>
      <c r="I67" s="107">
        <f>H67*I30</f>
        <v>0</v>
      </c>
      <c r="J67" s="121"/>
      <c r="K67" s="96"/>
      <c r="L67" s="96"/>
    </row>
    <row r="68" spans="1:12" ht="12.75">
      <c r="A68" s="102" t="s">
        <v>96</v>
      </c>
      <c r="B68" s="479" t="s">
        <v>171</v>
      </c>
      <c r="C68" s="434"/>
      <c r="D68" s="434"/>
      <c r="E68" s="434"/>
      <c r="F68" s="434"/>
      <c r="G68" s="435"/>
      <c r="H68" s="127"/>
      <c r="I68" s="107">
        <f t="shared" ref="I68:I71" si="1">$I$30*H68</f>
        <v>0</v>
      </c>
      <c r="J68" s="121"/>
      <c r="K68" s="96"/>
      <c r="L68" s="96"/>
    </row>
    <row r="69" spans="1:12" ht="12.75">
      <c r="A69" s="102" t="s">
        <v>98</v>
      </c>
      <c r="B69" s="479" t="s">
        <v>172</v>
      </c>
      <c r="C69" s="434"/>
      <c r="D69" s="434"/>
      <c r="E69" s="434"/>
      <c r="F69" s="434"/>
      <c r="G69" s="435"/>
      <c r="H69" s="106"/>
      <c r="I69" s="107">
        <f t="shared" si="1"/>
        <v>0</v>
      </c>
      <c r="J69" s="121"/>
      <c r="K69" s="96"/>
      <c r="L69" s="96"/>
    </row>
    <row r="70" spans="1:12" ht="12.75">
      <c r="A70" s="102" t="s">
        <v>122</v>
      </c>
      <c r="B70" s="479" t="s">
        <v>173</v>
      </c>
      <c r="C70" s="434"/>
      <c r="D70" s="434"/>
      <c r="E70" s="434"/>
      <c r="F70" s="434"/>
      <c r="G70" s="435"/>
      <c r="H70" s="130"/>
      <c r="I70" s="107">
        <f t="shared" si="1"/>
        <v>0</v>
      </c>
      <c r="J70" s="113"/>
      <c r="K70" s="96"/>
      <c r="L70" s="96"/>
    </row>
    <row r="71" spans="1:12" ht="12.75">
      <c r="A71" s="102" t="s">
        <v>124</v>
      </c>
      <c r="B71" s="479" t="s">
        <v>174</v>
      </c>
      <c r="C71" s="434"/>
      <c r="D71" s="434"/>
      <c r="E71" s="434"/>
      <c r="F71" s="434"/>
      <c r="G71" s="435"/>
      <c r="H71" s="106"/>
      <c r="I71" s="107">
        <f t="shared" si="1"/>
        <v>0</v>
      </c>
      <c r="J71" s="113"/>
      <c r="K71" s="96"/>
      <c r="L71" s="96"/>
    </row>
    <row r="72" spans="1:12" ht="12.75">
      <c r="A72" s="480" t="s">
        <v>175</v>
      </c>
      <c r="B72" s="434"/>
      <c r="C72" s="434"/>
      <c r="D72" s="434"/>
      <c r="E72" s="434"/>
      <c r="F72" s="434"/>
      <c r="G72" s="435"/>
      <c r="H72" s="131">
        <f>TRUNC(SUM(H66:H71),4)</f>
        <v>0</v>
      </c>
      <c r="I72" s="115">
        <f>TRUNC(SUM(I66:I71),2)</f>
        <v>0</v>
      </c>
      <c r="J72" s="124" t="s">
        <v>176</v>
      </c>
      <c r="K72" s="96"/>
      <c r="L72" s="96"/>
    </row>
    <row r="73" spans="1:12" ht="12.75">
      <c r="A73" s="482"/>
      <c r="B73" s="430"/>
      <c r="C73" s="430"/>
      <c r="D73" s="430"/>
      <c r="E73" s="430"/>
      <c r="F73" s="430"/>
      <c r="G73" s="430"/>
      <c r="H73" s="430"/>
      <c r="I73" s="431"/>
      <c r="J73" s="103"/>
      <c r="K73" s="96"/>
      <c r="L73" s="96"/>
    </row>
    <row r="74" spans="1:12" ht="12.75">
      <c r="A74" s="481" t="s">
        <v>177</v>
      </c>
      <c r="B74" s="434"/>
      <c r="C74" s="434"/>
      <c r="D74" s="434"/>
      <c r="E74" s="434"/>
      <c r="F74" s="434"/>
      <c r="G74" s="434"/>
      <c r="H74" s="434"/>
      <c r="I74" s="435"/>
      <c r="J74" s="112" t="s">
        <v>114</v>
      </c>
      <c r="K74" s="96"/>
      <c r="L74" s="96"/>
    </row>
    <row r="75" spans="1:12" ht="12.75">
      <c r="A75" s="480" t="s">
        <v>178</v>
      </c>
      <c r="B75" s="434"/>
      <c r="C75" s="434"/>
      <c r="D75" s="434"/>
      <c r="E75" s="434"/>
      <c r="F75" s="434"/>
      <c r="G75" s="435"/>
      <c r="H75" s="102" t="s">
        <v>116</v>
      </c>
      <c r="I75" s="102" t="s">
        <v>117</v>
      </c>
      <c r="J75" s="102"/>
      <c r="K75" s="96"/>
      <c r="L75" s="96"/>
    </row>
    <row r="76" spans="1:12" ht="12.75">
      <c r="A76" s="102" t="s">
        <v>91</v>
      </c>
      <c r="B76" s="479" t="s">
        <v>179</v>
      </c>
      <c r="C76" s="434"/>
      <c r="D76" s="434"/>
      <c r="E76" s="434"/>
      <c r="F76" s="434"/>
      <c r="G76" s="435"/>
      <c r="H76" s="106"/>
      <c r="I76" s="107">
        <f t="shared" ref="I76:I79" si="2">$I$30*H76</f>
        <v>0</v>
      </c>
      <c r="J76" s="123"/>
      <c r="K76" s="96"/>
      <c r="L76" s="96"/>
    </row>
    <row r="77" spans="1:12" ht="12.75">
      <c r="A77" s="102" t="s">
        <v>93</v>
      </c>
      <c r="B77" s="479" t="s">
        <v>180</v>
      </c>
      <c r="C77" s="434"/>
      <c r="D77" s="434"/>
      <c r="E77" s="434"/>
      <c r="F77" s="434"/>
      <c r="G77" s="435"/>
      <c r="H77" s="106"/>
      <c r="I77" s="107">
        <f t="shared" si="2"/>
        <v>0</v>
      </c>
      <c r="J77" s="123"/>
      <c r="K77" s="96"/>
      <c r="L77" s="96"/>
    </row>
    <row r="78" spans="1:12" ht="12.75">
      <c r="A78" s="102" t="s">
        <v>96</v>
      </c>
      <c r="B78" s="479" t="s">
        <v>181</v>
      </c>
      <c r="C78" s="434"/>
      <c r="D78" s="434"/>
      <c r="E78" s="434"/>
      <c r="F78" s="434"/>
      <c r="G78" s="435"/>
      <c r="H78" s="106"/>
      <c r="I78" s="107">
        <f t="shared" si="2"/>
        <v>0</v>
      </c>
      <c r="J78" s="123"/>
      <c r="K78" s="96"/>
      <c r="L78" s="96"/>
    </row>
    <row r="79" spans="1:12" ht="12.75">
      <c r="A79" s="102" t="s">
        <v>98</v>
      </c>
      <c r="B79" s="479" t="s">
        <v>231</v>
      </c>
      <c r="C79" s="434"/>
      <c r="D79" s="434"/>
      <c r="E79" s="434"/>
      <c r="F79" s="434"/>
      <c r="G79" s="435"/>
      <c r="H79" s="106"/>
      <c r="I79" s="107">
        <f t="shared" si="2"/>
        <v>0</v>
      </c>
      <c r="J79" s="123"/>
      <c r="K79" s="96"/>
      <c r="L79" s="96"/>
    </row>
    <row r="80" spans="1:12" ht="12.75">
      <c r="A80" s="102" t="s">
        <v>122</v>
      </c>
      <c r="B80" s="479" t="s">
        <v>183</v>
      </c>
      <c r="C80" s="434"/>
      <c r="D80" s="434"/>
      <c r="E80" s="434"/>
      <c r="F80" s="434"/>
      <c r="G80" s="435"/>
      <c r="H80" s="106"/>
      <c r="I80" s="107">
        <f>H80*I30</f>
        <v>0</v>
      </c>
      <c r="J80" s="123"/>
      <c r="K80" s="96"/>
      <c r="L80" s="108"/>
    </row>
    <row r="81" spans="1:12" ht="12.75">
      <c r="A81" s="102" t="s">
        <v>124</v>
      </c>
      <c r="B81" s="498" t="s">
        <v>184</v>
      </c>
      <c r="C81" s="434"/>
      <c r="D81" s="434"/>
      <c r="E81" s="434"/>
      <c r="F81" s="434"/>
      <c r="G81" s="435"/>
      <c r="H81" s="106"/>
      <c r="I81" s="107">
        <f>$I$30*H81</f>
        <v>0</v>
      </c>
      <c r="J81" s="123"/>
      <c r="K81" s="96"/>
      <c r="L81" s="96"/>
    </row>
    <row r="82" spans="1:12" ht="12.75">
      <c r="A82" s="480" t="s">
        <v>185</v>
      </c>
      <c r="B82" s="434"/>
      <c r="C82" s="434"/>
      <c r="D82" s="434"/>
      <c r="E82" s="434"/>
      <c r="F82" s="434"/>
      <c r="G82" s="435"/>
      <c r="H82" s="131">
        <f t="shared" ref="H82:I82" si="3">SUM(H76:H81)</f>
        <v>0</v>
      </c>
      <c r="I82" s="115">
        <f t="shared" si="3"/>
        <v>0</v>
      </c>
      <c r="J82" s="116" t="s">
        <v>186</v>
      </c>
      <c r="K82" s="96"/>
      <c r="L82" s="96"/>
    </row>
    <row r="83" spans="1:12" ht="12.75">
      <c r="A83" s="482"/>
      <c r="B83" s="430"/>
      <c r="C83" s="430"/>
      <c r="D83" s="430"/>
      <c r="E83" s="430"/>
      <c r="F83" s="430"/>
      <c r="G83" s="430"/>
      <c r="H83" s="430"/>
      <c r="I83" s="431"/>
      <c r="J83" s="117"/>
      <c r="K83" s="96"/>
      <c r="L83" s="96"/>
    </row>
    <row r="84" spans="1:12" ht="12.75">
      <c r="A84" s="480" t="s">
        <v>187</v>
      </c>
      <c r="B84" s="434"/>
      <c r="C84" s="434"/>
      <c r="D84" s="434"/>
      <c r="E84" s="434"/>
      <c r="F84" s="434"/>
      <c r="G84" s="435"/>
      <c r="H84" s="102" t="s">
        <v>116</v>
      </c>
      <c r="I84" s="102" t="s">
        <v>117</v>
      </c>
      <c r="J84" s="112" t="s">
        <v>114</v>
      </c>
      <c r="K84" s="96"/>
      <c r="L84" s="96"/>
    </row>
    <row r="85" spans="1:12" ht="12.75">
      <c r="A85" s="102" t="s">
        <v>91</v>
      </c>
      <c r="B85" s="479" t="s">
        <v>188</v>
      </c>
      <c r="C85" s="434"/>
      <c r="D85" s="434"/>
      <c r="E85" s="434"/>
      <c r="F85" s="434"/>
      <c r="G85" s="435"/>
      <c r="H85" s="106">
        <v>0</v>
      </c>
      <c r="I85" s="107">
        <f>$I$30*H85</f>
        <v>0</v>
      </c>
      <c r="J85" s="132"/>
      <c r="K85" s="96"/>
      <c r="L85" s="96"/>
    </row>
    <row r="86" spans="1:12" ht="12.75">
      <c r="A86" s="480" t="s">
        <v>189</v>
      </c>
      <c r="B86" s="434"/>
      <c r="C86" s="434"/>
      <c r="D86" s="434"/>
      <c r="E86" s="434"/>
      <c r="F86" s="434"/>
      <c r="G86" s="435"/>
      <c r="H86" s="114">
        <f>TRUNC(SUM(H85),4)</f>
        <v>0</v>
      </c>
      <c r="I86" s="115">
        <f>TRUNC(SUM(I85),2)</f>
        <v>0</v>
      </c>
      <c r="J86" s="124"/>
      <c r="K86" s="96"/>
      <c r="L86" s="96"/>
    </row>
    <row r="87" spans="1:12" ht="12.75">
      <c r="A87" s="482"/>
      <c r="B87" s="430"/>
      <c r="C87" s="430"/>
      <c r="D87" s="430"/>
      <c r="E87" s="430"/>
      <c r="F87" s="430"/>
      <c r="G87" s="430"/>
      <c r="H87" s="430"/>
      <c r="I87" s="431"/>
      <c r="J87" s="117"/>
      <c r="K87" s="96"/>
      <c r="L87" s="96"/>
    </row>
    <row r="88" spans="1:12" ht="12.75">
      <c r="A88" s="497" t="s">
        <v>190</v>
      </c>
      <c r="B88" s="434"/>
      <c r="C88" s="434"/>
      <c r="D88" s="434"/>
      <c r="E88" s="434"/>
      <c r="F88" s="434"/>
      <c r="G88" s="434"/>
      <c r="H88" s="434"/>
      <c r="I88" s="435"/>
      <c r="J88" s="112" t="s">
        <v>114</v>
      </c>
      <c r="K88" s="96"/>
      <c r="L88" s="96"/>
    </row>
    <row r="89" spans="1:12" ht="12.75">
      <c r="A89" s="480" t="s">
        <v>191</v>
      </c>
      <c r="B89" s="434"/>
      <c r="C89" s="434"/>
      <c r="D89" s="434"/>
      <c r="E89" s="434"/>
      <c r="F89" s="434"/>
      <c r="G89" s="434"/>
      <c r="H89" s="435"/>
      <c r="I89" s="102" t="s">
        <v>117</v>
      </c>
      <c r="J89" s="102"/>
      <c r="K89" s="96"/>
      <c r="L89" s="96"/>
    </row>
    <row r="90" spans="1:12" ht="12.75">
      <c r="A90" s="102" t="s">
        <v>192</v>
      </c>
      <c r="B90" s="486" t="s">
        <v>180</v>
      </c>
      <c r="C90" s="434"/>
      <c r="D90" s="434"/>
      <c r="E90" s="434"/>
      <c r="F90" s="434"/>
      <c r="G90" s="434"/>
      <c r="H90" s="435"/>
      <c r="I90" s="107">
        <f>I82</f>
        <v>0</v>
      </c>
      <c r="J90" s="133"/>
      <c r="K90" s="96"/>
      <c r="L90" s="96"/>
    </row>
    <row r="91" spans="1:12" ht="12.75">
      <c r="A91" s="102" t="s">
        <v>193</v>
      </c>
      <c r="B91" s="486" t="s">
        <v>194</v>
      </c>
      <c r="C91" s="434"/>
      <c r="D91" s="434"/>
      <c r="E91" s="434"/>
      <c r="F91" s="434"/>
      <c r="G91" s="434"/>
      <c r="H91" s="435"/>
      <c r="I91" s="107">
        <f>I86</f>
        <v>0</v>
      </c>
      <c r="J91" s="133"/>
      <c r="K91" s="96"/>
      <c r="L91" s="96"/>
    </row>
    <row r="92" spans="1:12" ht="12.75">
      <c r="A92" s="480" t="s">
        <v>195</v>
      </c>
      <c r="B92" s="434"/>
      <c r="C92" s="434"/>
      <c r="D92" s="434"/>
      <c r="E92" s="434"/>
      <c r="F92" s="434"/>
      <c r="G92" s="434"/>
      <c r="H92" s="435"/>
      <c r="I92" s="115">
        <f>TRUNC(SUM(I90:I91),2)</f>
        <v>0</v>
      </c>
      <c r="J92" s="124" t="s">
        <v>186</v>
      </c>
      <c r="K92" s="96"/>
      <c r="L92" s="96"/>
    </row>
    <row r="93" spans="1:12" ht="12.75">
      <c r="A93" s="482"/>
      <c r="B93" s="430"/>
      <c r="C93" s="430"/>
      <c r="D93" s="430"/>
      <c r="E93" s="430"/>
      <c r="F93" s="430"/>
      <c r="G93" s="430"/>
      <c r="H93" s="430"/>
      <c r="I93" s="431"/>
      <c r="J93" s="117"/>
      <c r="K93" s="96"/>
      <c r="L93" s="96"/>
    </row>
    <row r="94" spans="1:12" ht="12.75">
      <c r="A94" s="481" t="s">
        <v>196</v>
      </c>
      <c r="B94" s="434"/>
      <c r="C94" s="434"/>
      <c r="D94" s="434"/>
      <c r="E94" s="434"/>
      <c r="F94" s="434"/>
      <c r="G94" s="434"/>
      <c r="H94" s="434"/>
      <c r="I94" s="435"/>
      <c r="J94" s="112" t="s">
        <v>114</v>
      </c>
      <c r="K94" s="96"/>
      <c r="L94" s="96"/>
    </row>
    <row r="95" spans="1:12" ht="12.75">
      <c r="A95" s="102">
        <v>5</v>
      </c>
      <c r="B95" s="480" t="s">
        <v>197</v>
      </c>
      <c r="C95" s="434"/>
      <c r="D95" s="434"/>
      <c r="E95" s="434"/>
      <c r="F95" s="434"/>
      <c r="G95" s="435"/>
      <c r="H95" s="102"/>
      <c r="I95" s="102" t="s">
        <v>117</v>
      </c>
      <c r="J95" s="102"/>
      <c r="K95" s="96"/>
      <c r="L95" s="96"/>
    </row>
    <row r="96" spans="1:12" ht="12.75">
      <c r="A96" s="102" t="s">
        <v>91</v>
      </c>
      <c r="B96" s="490" t="s">
        <v>232</v>
      </c>
      <c r="C96" s="434"/>
      <c r="D96" s="434"/>
      <c r="E96" s="434"/>
      <c r="F96" s="434"/>
      <c r="G96" s="435"/>
      <c r="H96" s="98" t="s">
        <v>150</v>
      </c>
      <c r="I96" s="107">
        <f>'EQUIPAMENTOS JAUZEIRO'!H27</f>
        <v>0</v>
      </c>
      <c r="J96" s="145"/>
      <c r="K96" s="96"/>
      <c r="L96" s="96"/>
    </row>
    <row r="97" spans="1:12" ht="12.75">
      <c r="A97" s="102" t="s">
        <v>93</v>
      </c>
      <c r="B97" s="490"/>
      <c r="C97" s="434"/>
      <c r="D97" s="434"/>
      <c r="E97" s="434"/>
      <c r="F97" s="434"/>
      <c r="G97" s="435"/>
      <c r="H97" s="98" t="s">
        <v>150</v>
      </c>
      <c r="I97" s="107"/>
      <c r="J97" s="145"/>
      <c r="K97" s="96"/>
      <c r="L97" s="96"/>
    </row>
    <row r="98" spans="1:12" ht="12.75">
      <c r="A98" s="135" t="s">
        <v>96</v>
      </c>
      <c r="B98" s="490"/>
      <c r="C98" s="434"/>
      <c r="D98" s="434"/>
      <c r="E98" s="434"/>
      <c r="F98" s="434"/>
      <c r="G98" s="435"/>
      <c r="H98" s="98" t="s">
        <v>150</v>
      </c>
      <c r="I98" s="107"/>
      <c r="J98" s="145"/>
      <c r="K98" s="96"/>
      <c r="L98" s="96"/>
    </row>
    <row r="99" spans="1:12" ht="12.75">
      <c r="A99" s="135" t="s">
        <v>98</v>
      </c>
      <c r="B99" s="490"/>
      <c r="C99" s="434"/>
      <c r="D99" s="434"/>
      <c r="E99" s="434"/>
      <c r="F99" s="434"/>
      <c r="G99" s="435"/>
      <c r="H99" s="98" t="s">
        <v>150</v>
      </c>
      <c r="I99" s="107"/>
      <c r="J99" s="145"/>
      <c r="K99" s="96"/>
      <c r="L99" s="96"/>
    </row>
    <row r="100" spans="1:12" ht="12.75">
      <c r="A100" s="480" t="s">
        <v>203</v>
      </c>
      <c r="B100" s="434"/>
      <c r="C100" s="434"/>
      <c r="D100" s="434"/>
      <c r="E100" s="434"/>
      <c r="F100" s="434"/>
      <c r="G100" s="435"/>
      <c r="H100" s="114" t="s">
        <v>150</v>
      </c>
      <c r="I100" s="115">
        <f>SUM(I96:I99)</f>
        <v>0</v>
      </c>
      <c r="J100" s="133" t="s">
        <v>15</v>
      </c>
      <c r="K100" s="96"/>
      <c r="L100" s="96"/>
    </row>
    <row r="101" spans="1:12" ht="12.75">
      <c r="A101" s="482"/>
      <c r="B101" s="430"/>
      <c r="C101" s="430"/>
      <c r="D101" s="430"/>
      <c r="E101" s="430"/>
      <c r="F101" s="430"/>
      <c r="G101" s="430"/>
      <c r="H101" s="430"/>
      <c r="I101" s="431"/>
      <c r="J101" s="117"/>
      <c r="K101" s="96"/>
      <c r="L101" s="96"/>
    </row>
    <row r="102" spans="1:12" ht="12.75">
      <c r="A102" s="481" t="s">
        <v>204</v>
      </c>
      <c r="B102" s="434"/>
      <c r="C102" s="434"/>
      <c r="D102" s="434"/>
      <c r="E102" s="434"/>
      <c r="F102" s="434"/>
      <c r="G102" s="434"/>
      <c r="H102" s="434"/>
      <c r="I102" s="435"/>
      <c r="J102" s="112" t="s">
        <v>114</v>
      </c>
      <c r="K102" s="96"/>
      <c r="L102" s="96"/>
    </row>
    <row r="103" spans="1:12" ht="12.75">
      <c r="A103" s="102">
        <v>6</v>
      </c>
      <c r="B103" s="480" t="s">
        <v>205</v>
      </c>
      <c r="C103" s="434"/>
      <c r="D103" s="434"/>
      <c r="E103" s="434"/>
      <c r="F103" s="434"/>
      <c r="G103" s="435"/>
      <c r="H103" s="102" t="s">
        <v>116</v>
      </c>
      <c r="I103" s="102" t="s">
        <v>117</v>
      </c>
      <c r="J103" s="102"/>
      <c r="K103" s="96"/>
      <c r="L103" s="96"/>
    </row>
    <row r="104" spans="1:12" ht="12.75">
      <c r="A104" s="102" t="s">
        <v>91</v>
      </c>
      <c r="B104" s="479" t="s">
        <v>206</v>
      </c>
      <c r="C104" s="434"/>
      <c r="D104" s="434"/>
      <c r="E104" s="434"/>
      <c r="F104" s="434"/>
      <c r="G104" s="435"/>
      <c r="H104" s="136"/>
      <c r="I104" s="104">
        <f>TRUNC(H104*I129,2)</f>
        <v>0</v>
      </c>
      <c r="J104" s="137"/>
      <c r="K104" s="96"/>
      <c r="L104" s="96"/>
    </row>
    <row r="105" spans="1:12" ht="12.75">
      <c r="A105" s="102" t="s">
        <v>93</v>
      </c>
      <c r="B105" s="479" t="s">
        <v>207</v>
      </c>
      <c r="C105" s="434"/>
      <c r="D105" s="434"/>
      <c r="E105" s="434"/>
      <c r="F105" s="434"/>
      <c r="G105" s="435"/>
      <c r="H105" s="120"/>
      <c r="I105" s="104">
        <f>TRUNC(H105*(I104+I129),2)</f>
        <v>0</v>
      </c>
      <c r="J105" s="137"/>
      <c r="K105" s="96"/>
      <c r="L105" s="96"/>
    </row>
    <row r="106" spans="1:12" ht="12.75">
      <c r="A106" s="102" t="s">
        <v>96</v>
      </c>
      <c r="B106" s="495" t="s">
        <v>208</v>
      </c>
      <c r="C106" s="434"/>
      <c r="D106" s="434"/>
      <c r="E106" s="434"/>
      <c r="F106" s="434"/>
      <c r="G106" s="435"/>
      <c r="H106" s="106"/>
      <c r="I106" s="138"/>
      <c r="J106" s="138"/>
      <c r="K106" s="96"/>
      <c r="L106" s="96"/>
    </row>
    <row r="107" spans="1:12" ht="12.75">
      <c r="A107" s="102" t="s">
        <v>209</v>
      </c>
      <c r="B107" s="479" t="s">
        <v>210</v>
      </c>
      <c r="C107" s="434"/>
      <c r="D107" s="434"/>
      <c r="E107" s="434"/>
      <c r="F107" s="434"/>
      <c r="G107" s="435"/>
      <c r="H107" s="120"/>
      <c r="I107" s="104">
        <f>TRUNC(H107*I118,2)</f>
        <v>0</v>
      </c>
      <c r="J107" s="491"/>
      <c r="K107" s="96"/>
      <c r="L107" s="96"/>
    </row>
    <row r="108" spans="1:12" ht="12.75">
      <c r="A108" s="102" t="s">
        <v>211</v>
      </c>
      <c r="B108" s="479" t="s">
        <v>212</v>
      </c>
      <c r="C108" s="434"/>
      <c r="D108" s="434"/>
      <c r="E108" s="434"/>
      <c r="F108" s="434"/>
      <c r="G108" s="435"/>
      <c r="H108" s="139"/>
      <c r="I108" s="104">
        <f>TRUNC(H108*I118,2)</f>
        <v>0</v>
      </c>
      <c r="J108" s="437"/>
      <c r="K108" s="96"/>
      <c r="L108" s="96"/>
    </row>
    <row r="109" spans="1:12" ht="12.75">
      <c r="A109" s="102" t="s">
        <v>213</v>
      </c>
      <c r="B109" s="479" t="s">
        <v>214</v>
      </c>
      <c r="C109" s="434"/>
      <c r="D109" s="434"/>
      <c r="E109" s="434"/>
      <c r="F109" s="434"/>
      <c r="G109" s="435"/>
      <c r="H109" s="136"/>
      <c r="I109" s="104">
        <f>TRUNC(H109*I118,2)</f>
        <v>0</v>
      </c>
      <c r="J109" s="438"/>
      <c r="K109" s="96"/>
      <c r="L109" s="96"/>
    </row>
    <row r="110" spans="1:12" ht="12.75">
      <c r="A110" s="480" t="s">
        <v>215</v>
      </c>
      <c r="B110" s="434"/>
      <c r="C110" s="434"/>
      <c r="D110" s="434"/>
      <c r="E110" s="434"/>
      <c r="F110" s="434"/>
      <c r="G110" s="435"/>
      <c r="H110" s="120">
        <f>SUM(H104:H109)</f>
        <v>0</v>
      </c>
      <c r="I110" s="109">
        <f>TRUNC(SUM(I104:I109),2)</f>
        <v>0</v>
      </c>
      <c r="J110" s="140" t="s">
        <v>216</v>
      </c>
      <c r="K110" s="96"/>
      <c r="L110" s="96"/>
    </row>
    <row r="111" spans="1:12" ht="12.75">
      <c r="A111" s="483" t="s">
        <v>217</v>
      </c>
      <c r="B111" s="434"/>
      <c r="C111" s="434"/>
      <c r="D111" s="434"/>
      <c r="E111" s="434"/>
      <c r="F111" s="434"/>
      <c r="G111" s="434"/>
      <c r="H111" s="434"/>
      <c r="I111" s="434"/>
      <c r="J111" s="435"/>
      <c r="K111" s="96"/>
      <c r="L111" s="96"/>
    </row>
    <row r="112" spans="1:12" ht="12.75">
      <c r="A112" s="103"/>
      <c r="B112" s="482"/>
      <c r="C112" s="430"/>
      <c r="D112" s="430"/>
      <c r="E112" s="430"/>
      <c r="F112" s="430"/>
      <c r="G112" s="430"/>
      <c r="H112" s="430"/>
      <c r="I112" s="431"/>
      <c r="J112" s="96"/>
      <c r="K112" s="96"/>
      <c r="L112" s="96"/>
    </row>
    <row r="113" spans="1:12" ht="12.75">
      <c r="A113" s="102" t="s">
        <v>218</v>
      </c>
      <c r="B113" s="492" t="s">
        <v>219</v>
      </c>
      <c r="C113" s="461"/>
      <c r="D113" s="461"/>
      <c r="E113" s="461"/>
      <c r="F113" s="461"/>
      <c r="G113" s="461"/>
      <c r="H113" s="141">
        <f>TRUNC(H107+H108+H109,4)</f>
        <v>0</v>
      </c>
      <c r="I113" s="142"/>
      <c r="J113" s="110"/>
      <c r="K113" s="96"/>
      <c r="L113" s="96"/>
    </row>
    <row r="114" spans="1:12" ht="12.75">
      <c r="A114" s="103"/>
      <c r="B114" s="494">
        <v>100</v>
      </c>
      <c r="C114" s="461"/>
      <c r="D114" s="461"/>
      <c r="E114" s="461"/>
      <c r="F114" s="461"/>
      <c r="G114" s="461"/>
      <c r="H114" s="129"/>
      <c r="I114" s="142"/>
      <c r="J114" s="110"/>
      <c r="K114" s="96"/>
      <c r="L114" s="96"/>
    </row>
    <row r="115" spans="1:12" ht="12.75">
      <c r="A115" s="103"/>
      <c r="B115" s="96"/>
      <c r="C115" s="96"/>
      <c r="D115" s="96"/>
      <c r="E115" s="96"/>
      <c r="F115" s="96"/>
      <c r="G115" s="96"/>
      <c r="H115" s="129"/>
      <c r="I115" s="142"/>
      <c r="J115" s="110"/>
      <c r="K115" s="96"/>
      <c r="L115" s="96"/>
    </row>
    <row r="116" spans="1:12" ht="12.75">
      <c r="A116" s="143" t="s">
        <v>220</v>
      </c>
      <c r="B116" s="494" t="s">
        <v>221</v>
      </c>
      <c r="C116" s="461"/>
      <c r="D116" s="461"/>
      <c r="E116" s="461"/>
      <c r="F116" s="461"/>
      <c r="G116" s="461"/>
      <c r="H116" s="129"/>
      <c r="I116" s="109">
        <f>TRUNC(I129+I104+I105,2)</f>
        <v>0</v>
      </c>
      <c r="J116" s="110"/>
      <c r="K116" s="96"/>
      <c r="L116" s="96"/>
    </row>
    <row r="117" spans="1:12" ht="12.75">
      <c r="A117" s="143"/>
      <c r="B117" s="96"/>
      <c r="C117" s="96"/>
      <c r="D117" s="96"/>
      <c r="E117" s="96"/>
      <c r="F117" s="96"/>
      <c r="G117" s="96"/>
      <c r="H117" s="129"/>
      <c r="I117" s="142"/>
      <c r="J117" s="110"/>
      <c r="K117" s="96"/>
      <c r="L117" s="96"/>
    </row>
    <row r="118" spans="1:12" ht="12.75">
      <c r="A118" s="143" t="s">
        <v>222</v>
      </c>
      <c r="B118" s="494" t="s">
        <v>223</v>
      </c>
      <c r="C118" s="461"/>
      <c r="D118" s="461"/>
      <c r="E118" s="461"/>
      <c r="F118" s="461"/>
      <c r="G118" s="461"/>
      <c r="H118" s="129"/>
      <c r="I118" s="109">
        <f>TRUNC(I116/(1-H113),2)</f>
        <v>0</v>
      </c>
      <c r="J118" s="110"/>
      <c r="K118" s="96"/>
      <c r="L118" s="96"/>
    </row>
    <row r="119" spans="1:12" ht="12.75">
      <c r="A119" s="103"/>
      <c r="B119" s="96"/>
      <c r="C119" s="96"/>
      <c r="D119" s="96"/>
      <c r="E119" s="96"/>
      <c r="F119" s="96"/>
      <c r="G119" s="96"/>
      <c r="H119" s="129"/>
      <c r="I119" s="142"/>
      <c r="J119" s="110"/>
      <c r="K119" s="96"/>
      <c r="L119" s="96"/>
    </row>
    <row r="120" spans="1:12" ht="12.75">
      <c r="A120" s="103"/>
      <c r="B120" s="495" t="s">
        <v>224</v>
      </c>
      <c r="C120" s="434"/>
      <c r="D120" s="434"/>
      <c r="E120" s="434"/>
      <c r="F120" s="434"/>
      <c r="G120" s="435"/>
      <c r="H120" s="106"/>
      <c r="I120" s="109">
        <f>TRUNC(I118-I116,2)</f>
        <v>0</v>
      </c>
      <c r="J120" s="110"/>
      <c r="K120" s="96"/>
      <c r="L120" s="108"/>
    </row>
    <row r="121" spans="1:12" ht="12.75">
      <c r="A121" s="96"/>
      <c r="B121" s="96"/>
      <c r="C121" s="96"/>
      <c r="D121" s="96"/>
      <c r="E121" s="96"/>
      <c r="F121" s="96"/>
      <c r="G121" s="96"/>
      <c r="H121" s="96"/>
      <c r="I121" s="108"/>
      <c r="J121" s="108"/>
      <c r="K121" s="96"/>
      <c r="L121" s="96"/>
    </row>
    <row r="122" spans="1:12" ht="12.75">
      <c r="A122" s="496" t="s">
        <v>225</v>
      </c>
      <c r="B122" s="430"/>
      <c r="C122" s="430"/>
      <c r="D122" s="430"/>
      <c r="E122" s="430"/>
      <c r="F122" s="430"/>
      <c r="G122" s="430"/>
      <c r="H122" s="430"/>
      <c r="I122" s="431"/>
      <c r="J122" s="97"/>
      <c r="K122" s="96"/>
      <c r="L122" s="144"/>
    </row>
    <row r="123" spans="1:12" ht="12.75">
      <c r="A123" s="480" t="s">
        <v>226</v>
      </c>
      <c r="B123" s="434"/>
      <c r="C123" s="434"/>
      <c r="D123" s="434"/>
      <c r="E123" s="434"/>
      <c r="F123" s="434"/>
      <c r="G123" s="434"/>
      <c r="H123" s="435"/>
      <c r="I123" s="102" t="s">
        <v>117</v>
      </c>
      <c r="J123" s="96"/>
      <c r="K123" s="96"/>
      <c r="L123" s="96"/>
    </row>
    <row r="124" spans="1:12" ht="12.75">
      <c r="A124" s="98" t="s">
        <v>91</v>
      </c>
      <c r="B124" s="479" t="str">
        <f>A21</f>
        <v>MÓDULO 1 - COMPOSIÇÃO DA REMUNERAÇÃO</v>
      </c>
      <c r="C124" s="434"/>
      <c r="D124" s="434"/>
      <c r="E124" s="434"/>
      <c r="F124" s="434"/>
      <c r="G124" s="434"/>
      <c r="H124" s="435"/>
      <c r="I124" s="104">
        <f>I30</f>
        <v>0</v>
      </c>
      <c r="J124" s="110"/>
      <c r="K124" s="96"/>
      <c r="L124" s="96"/>
    </row>
    <row r="125" spans="1:12" ht="12.75">
      <c r="A125" s="98" t="s">
        <v>93</v>
      </c>
      <c r="B125" s="479" t="str">
        <f>A58</f>
        <v>Módulo 2 - Encargos, Benefícios Anuais, Mensais e Diários</v>
      </c>
      <c r="C125" s="434"/>
      <c r="D125" s="434"/>
      <c r="E125" s="434"/>
      <c r="F125" s="434"/>
      <c r="G125" s="434"/>
      <c r="H125" s="435"/>
      <c r="I125" s="104">
        <f>I62</f>
        <v>0</v>
      </c>
      <c r="J125" s="110"/>
      <c r="K125" s="96"/>
      <c r="L125" s="96"/>
    </row>
    <row r="126" spans="1:12" ht="12.75">
      <c r="A126" s="98" t="s">
        <v>96</v>
      </c>
      <c r="B126" s="479" t="str">
        <f>A64</f>
        <v>MÓDULO 3 – PROVISÃO PARA RESCISÃO</v>
      </c>
      <c r="C126" s="434"/>
      <c r="D126" s="434"/>
      <c r="E126" s="434"/>
      <c r="F126" s="434"/>
      <c r="G126" s="434"/>
      <c r="H126" s="435"/>
      <c r="I126" s="104">
        <f>I72</f>
        <v>0</v>
      </c>
      <c r="J126" s="110"/>
      <c r="K126" s="96"/>
      <c r="L126" s="144"/>
    </row>
    <row r="127" spans="1:12" ht="12.75">
      <c r="A127" s="98" t="s">
        <v>98</v>
      </c>
      <c r="B127" s="479" t="str">
        <f>A74</f>
        <v>MÓDULO 4 – CUSTO DE REPOSIÇÃO DO PROFISSIONAL AUSENTE</v>
      </c>
      <c r="C127" s="434"/>
      <c r="D127" s="434"/>
      <c r="E127" s="434"/>
      <c r="F127" s="434"/>
      <c r="G127" s="434"/>
      <c r="H127" s="435"/>
      <c r="I127" s="104">
        <f>I92</f>
        <v>0</v>
      </c>
      <c r="J127" s="110"/>
      <c r="K127" s="96"/>
      <c r="L127" s="144"/>
    </row>
    <row r="128" spans="1:12" ht="12.75">
      <c r="A128" s="98" t="s">
        <v>122</v>
      </c>
      <c r="B128" s="479" t="str">
        <f>A94</f>
        <v>MÓDULO 5 – INSUMOS DIVERSOS</v>
      </c>
      <c r="C128" s="434"/>
      <c r="D128" s="434"/>
      <c r="E128" s="434"/>
      <c r="F128" s="434"/>
      <c r="G128" s="434"/>
      <c r="H128" s="435"/>
      <c r="I128" s="104">
        <f>I100</f>
        <v>0</v>
      </c>
      <c r="J128" s="110"/>
      <c r="K128" s="96"/>
      <c r="L128" s="96"/>
    </row>
    <row r="129" spans="1:12" ht="12.75">
      <c r="A129" s="102"/>
      <c r="B129" s="480" t="s">
        <v>227</v>
      </c>
      <c r="C129" s="434"/>
      <c r="D129" s="434"/>
      <c r="E129" s="434"/>
      <c r="F129" s="434"/>
      <c r="G129" s="434"/>
      <c r="H129" s="435"/>
      <c r="I129" s="109">
        <f>TRUNC(SUM(I124:I128),2)</f>
        <v>0</v>
      </c>
      <c r="J129" s="110"/>
      <c r="K129" s="96"/>
      <c r="L129" s="108"/>
    </row>
    <row r="130" spans="1:12" ht="12.75">
      <c r="A130" s="98" t="s">
        <v>124</v>
      </c>
      <c r="B130" s="479" t="str">
        <f>A102</f>
        <v>MÓDULO 6 – CUSTOS INDIRETOS, TRIBUTOS E LUCRO</v>
      </c>
      <c r="C130" s="434"/>
      <c r="D130" s="434"/>
      <c r="E130" s="434"/>
      <c r="F130" s="434"/>
      <c r="G130" s="434"/>
      <c r="H130" s="435"/>
      <c r="I130" s="104">
        <f>I110</f>
        <v>0</v>
      </c>
      <c r="J130" s="110"/>
      <c r="K130" s="96"/>
      <c r="L130" s="96"/>
    </row>
    <row r="131" spans="1:12" ht="12.75">
      <c r="A131" s="480" t="s">
        <v>228</v>
      </c>
      <c r="B131" s="434"/>
      <c r="C131" s="434"/>
      <c r="D131" s="434"/>
      <c r="E131" s="434"/>
      <c r="F131" s="434"/>
      <c r="G131" s="434"/>
      <c r="H131" s="435"/>
      <c r="I131" s="109">
        <f>TRUNC(SUM(I129:I130),2)</f>
        <v>0</v>
      </c>
      <c r="J131" s="110"/>
      <c r="K131" s="96"/>
      <c r="L131" s="96"/>
    </row>
  </sheetData>
  <mergeCells count="138">
    <mergeCell ref="A82:G82"/>
    <mergeCell ref="A83:I83"/>
    <mergeCell ref="A84:G84"/>
    <mergeCell ref="B85:G85"/>
    <mergeCell ref="A86:G86"/>
    <mergeCell ref="A87:I87"/>
    <mergeCell ref="A88:I88"/>
    <mergeCell ref="A89:H89"/>
    <mergeCell ref="B90:H90"/>
    <mergeCell ref="A73:I73"/>
    <mergeCell ref="A74:I74"/>
    <mergeCell ref="A75:G75"/>
    <mergeCell ref="B76:G76"/>
    <mergeCell ref="B77:G77"/>
    <mergeCell ref="B78:G78"/>
    <mergeCell ref="B79:G79"/>
    <mergeCell ref="B80:G80"/>
    <mergeCell ref="B81:G81"/>
    <mergeCell ref="A64:I64"/>
    <mergeCell ref="B65:G65"/>
    <mergeCell ref="B66:G66"/>
    <mergeCell ref="B67:G67"/>
    <mergeCell ref="B68:G68"/>
    <mergeCell ref="B69:G69"/>
    <mergeCell ref="B70:G70"/>
    <mergeCell ref="B71:G71"/>
    <mergeCell ref="A72:G72"/>
    <mergeCell ref="B113:G113"/>
    <mergeCell ref="B125:H125"/>
    <mergeCell ref="B126:H126"/>
    <mergeCell ref="B127:H127"/>
    <mergeCell ref="B128:H128"/>
    <mergeCell ref="B129:H129"/>
    <mergeCell ref="B130:H130"/>
    <mergeCell ref="A131:H131"/>
    <mergeCell ref="B114:G114"/>
    <mergeCell ref="B116:G116"/>
    <mergeCell ref="B118:G118"/>
    <mergeCell ref="B120:G120"/>
    <mergeCell ref="A122:I122"/>
    <mergeCell ref="A123:H123"/>
    <mergeCell ref="B124:H124"/>
    <mergeCell ref="A102:I102"/>
    <mergeCell ref="B103:G103"/>
    <mergeCell ref="B104:G104"/>
    <mergeCell ref="J107:J109"/>
    <mergeCell ref="B108:G108"/>
    <mergeCell ref="B109:G109"/>
    <mergeCell ref="A110:G110"/>
    <mergeCell ref="A111:J111"/>
    <mergeCell ref="B112:I112"/>
    <mergeCell ref="B105:G105"/>
    <mergeCell ref="B106:G106"/>
    <mergeCell ref="B107:G107"/>
    <mergeCell ref="A93:I93"/>
    <mergeCell ref="A94:I94"/>
    <mergeCell ref="B95:G95"/>
    <mergeCell ref="B96:G96"/>
    <mergeCell ref="B97:G97"/>
    <mergeCell ref="B98:G98"/>
    <mergeCell ref="B99:G99"/>
    <mergeCell ref="A100:G100"/>
    <mergeCell ref="A101:I101"/>
    <mergeCell ref="B42:G42"/>
    <mergeCell ref="B43:G43"/>
    <mergeCell ref="B44:G44"/>
    <mergeCell ref="B45:G45"/>
    <mergeCell ref="B46:G46"/>
    <mergeCell ref="A47:G47"/>
    <mergeCell ref="A48:I48"/>
    <mergeCell ref="B91:H91"/>
    <mergeCell ref="A92:H92"/>
    <mergeCell ref="A49:G49"/>
    <mergeCell ref="B50:G50"/>
    <mergeCell ref="B51:G51"/>
    <mergeCell ref="B52:G52"/>
    <mergeCell ref="B53:G53"/>
    <mergeCell ref="B54:G54"/>
    <mergeCell ref="A55:H55"/>
    <mergeCell ref="A56:I56"/>
    <mergeCell ref="A57:I57"/>
    <mergeCell ref="A58:H58"/>
    <mergeCell ref="B59:H59"/>
    <mergeCell ref="B60:H60"/>
    <mergeCell ref="B61:H61"/>
    <mergeCell ref="A62:H62"/>
    <mergeCell ref="A63:I63"/>
    <mergeCell ref="B19:G19"/>
    <mergeCell ref="H19:I19"/>
    <mergeCell ref="A20:I20"/>
    <mergeCell ref="A21:I21"/>
    <mergeCell ref="B22:G22"/>
    <mergeCell ref="B23:G23"/>
    <mergeCell ref="B24:G24"/>
    <mergeCell ref="B25:G25"/>
    <mergeCell ref="B26:G26"/>
    <mergeCell ref="A14:I14"/>
    <mergeCell ref="B15:G15"/>
    <mergeCell ref="H15:I15"/>
    <mergeCell ref="H16:I16"/>
    <mergeCell ref="B16:G16"/>
    <mergeCell ref="B17:G17"/>
    <mergeCell ref="H17:I17"/>
    <mergeCell ref="B18:G18"/>
    <mergeCell ref="H18:I18"/>
    <mergeCell ref="A37:I37"/>
    <mergeCell ref="A38:G38"/>
    <mergeCell ref="B39:G39"/>
    <mergeCell ref="B40:G40"/>
    <mergeCell ref="B41:G41"/>
    <mergeCell ref="A1:I1"/>
    <mergeCell ref="A2:I2"/>
    <mergeCell ref="A3:I3"/>
    <mergeCell ref="A4:I4"/>
    <mergeCell ref="B5:G5"/>
    <mergeCell ref="H5:I5"/>
    <mergeCell ref="H6:I6"/>
    <mergeCell ref="C11:D11"/>
    <mergeCell ref="E11:I11"/>
    <mergeCell ref="B6:G6"/>
    <mergeCell ref="B7:G7"/>
    <mergeCell ref="H7:I7"/>
    <mergeCell ref="B8:G8"/>
    <mergeCell ref="H8:I8"/>
    <mergeCell ref="A10:I10"/>
    <mergeCell ref="A11:B11"/>
    <mergeCell ref="A12:B12"/>
    <mergeCell ref="C12:D12"/>
    <mergeCell ref="E12:I12"/>
    <mergeCell ref="B27:G27"/>
    <mergeCell ref="B28:G28"/>
    <mergeCell ref="B29:G29"/>
    <mergeCell ref="A30:H30"/>
    <mergeCell ref="A32:I32"/>
    <mergeCell ref="A33:G33"/>
    <mergeCell ref="B34:G34"/>
    <mergeCell ref="B35:G35"/>
    <mergeCell ref="A36:G36"/>
  </mergeCells>
  <printOptions horizontalCentered="1" gridLines="1"/>
  <pageMargins left="0.39370078740157477" right="0.39370078740157477" top="0.78740157480314954" bottom="0.75" header="0" footer="0"/>
  <pageSetup paperSize="9" fitToHeight="0" pageOrder="overThenDown" orientation="portrait" cellComments="atEnd"/>
  <headerFooter>
    <oddHeader>&amp;CANEXO I - E - PLANILHA JAUZEIRO (44h Segunda à Sexta)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G18"/>
  <sheetViews>
    <sheetView showGridLines="0" workbookViewId="0">
      <selection activeCell="E26" sqref="E26"/>
    </sheetView>
  </sheetViews>
  <sheetFormatPr defaultColWidth="14.42578125" defaultRowHeight="15" customHeight="1"/>
  <cols>
    <col min="1" max="1" width="26" customWidth="1"/>
    <col min="2" max="2" width="34" customWidth="1"/>
    <col min="3" max="3" width="37" customWidth="1"/>
    <col min="4" max="4" width="13.85546875" customWidth="1"/>
    <col min="5" max="5" width="14.140625" customWidth="1"/>
    <col min="6" max="6" width="9.7109375" customWidth="1"/>
    <col min="7" max="7" width="14.85546875" customWidth="1"/>
  </cols>
  <sheetData>
    <row r="1" spans="1:7" ht="19.5" customHeight="1">
      <c r="A1" s="507" t="s">
        <v>199</v>
      </c>
      <c r="B1" s="427"/>
      <c r="C1" s="427"/>
      <c r="D1" s="427"/>
      <c r="E1" s="427"/>
      <c r="F1" s="427"/>
      <c r="G1" s="428"/>
    </row>
    <row r="2" spans="1:7" ht="12.75" customHeight="1">
      <c r="A2" s="508" t="s">
        <v>1</v>
      </c>
      <c r="B2" s="509" t="s">
        <v>233</v>
      </c>
      <c r="C2" s="509" t="s">
        <v>2</v>
      </c>
      <c r="D2" s="510" t="s">
        <v>234</v>
      </c>
      <c r="E2" s="511"/>
      <c r="F2" s="510" t="s">
        <v>235</v>
      </c>
      <c r="G2" s="514"/>
    </row>
    <row r="3" spans="1:7" ht="12.75" customHeight="1">
      <c r="A3" s="444"/>
      <c r="B3" s="437"/>
      <c r="C3" s="437"/>
      <c r="D3" s="512"/>
      <c r="E3" s="513"/>
      <c r="F3" s="512"/>
      <c r="G3" s="515"/>
    </row>
    <row r="4" spans="1:7" ht="12.75" customHeight="1">
      <c r="A4" s="444"/>
      <c r="B4" s="437"/>
      <c r="C4" s="437"/>
      <c r="D4" s="429"/>
      <c r="E4" s="431"/>
      <c r="F4" s="429"/>
      <c r="G4" s="516"/>
    </row>
    <row r="5" spans="1:7" ht="12.75" customHeight="1">
      <c r="A5" s="444"/>
      <c r="B5" s="437"/>
      <c r="C5" s="437"/>
      <c r="D5" s="146" t="s">
        <v>236</v>
      </c>
      <c r="E5" s="147" t="s">
        <v>237</v>
      </c>
      <c r="F5" s="148" t="s">
        <v>238</v>
      </c>
      <c r="G5" s="149" t="s">
        <v>239</v>
      </c>
    </row>
    <row r="6" spans="1:7" ht="12.75" customHeight="1">
      <c r="A6" s="445"/>
      <c r="B6" s="458"/>
      <c r="C6" s="458"/>
      <c r="D6" s="150" t="s">
        <v>240</v>
      </c>
      <c r="E6" s="151" t="s">
        <v>241</v>
      </c>
      <c r="F6" s="152" t="s">
        <v>242</v>
      </c>
      <c r="G6" s="153" t="s">
        <v>243</v>
      </c>
    </row>
    <row r="7" spans="1:7" ht="12.75" customHeight="1">
      <c r="A7" s="500">
        <v>1</v>
      </c>
      <c r="B7" s="500" t="s">
        <v>83</v>
      </c>
      <c r="C7" s="154" t="s">
        <v>244</v>
      </c>
      <c r="D7" s="155">
        <v>2</v>
      </c>
      <c r="E7" s="155">
        <f t="shared" ref="E7:E15" si="0">D7*5</f>
        <v>10</v>
      </c>
      <c r="F7" s="156"/>
      <c r="G7" s="157">
        <f t="shared" ref="G7:G15" si="1">F7*E7</f>
        <v>0</v>
      </c>
    </row>
    <row r="8" spans="1:7" ht="12.75" customHeight="1">
      <c r="A8" s="501"/>
      <c r="B8" s="501"/>
      <c r="C8" s="158" t="s">
        <v>245</v>
      </c>
      <c r="D8" s="159">
        <v>3</v>
      </c>
      <c r="E8" s="160">
        <f t="shared" si="0"/>
        <v>15</v>
      </c>
      <c r="F8" s="161"/>
      <c r="G8" s="162">
        <f t="shared" si="1"/>
        <v>0</v>
      </c>
    </row>
    <row r="9" spans="1:7" ht="12.75" customHeight="1">
      <c r="A9" s="501"/>
      <c r="B9" s="501"/>
      <c r="C9" s="158" t="s">
        <v>246</v>
      </c>
      <c r="D9" s="159">
        <v>1</v>
      </c>
      <c r="E9" s="160">
        <f t="shared" si="0"/>
        <v>5</v>
      </c>
      <c r="F9" s="161"/>
      <c r="G9" s="162">
        <f t="shared" si="1"/>
        <v>0</v>
      </c>
    </row>
    <row r="10" spans="1:7" ht="12.75" customHeight="1">
      <c r="A10" s="501"/>
      <c r="B10" s="501"/>
      <c r="C10" s="163" t="s">
        <v>247</v>
      </c>
      <c r="D10" s="159">
        <v>1</v>
      </c>
      <c r="E10" s="160">
        <f t="shared" si="0"/>
        <v>5</v>
      </c>
      <c r="F10" s="161"/>
      <c r="G10" s="162">
        <f t="shared" si="1"/>
        <v>0</v>
      </c>
    </row>
    <row r="11" spans="1:7" ht="12.75" customHeight="1">
      <c r="A11" s="501"/>
      <c r="B11" s="501"/>
      <c r="C11" s="158" t="s">
        <v>248</v>
      </c>
      <c r="D11" s="159">
        <v>3</v>
      </c>
      <c r="E11" s="160">
        <f t="shared" si="0"/>
        <v>15</v>
      </c>
      <c r="F11" s="161"/>
      <c r="G11" s="162">
        <f t="shared" si="1"/>
        <v>0</v>
      </c>
    </row>
    <row r="12" spans="1:7" ht="12.75" customHeight="1">
      <c r="A12" s="501"/>
      <c r="B12" s="501"/>
      <c r="C12" s="158" t="s">
        <v>249</v>
      </c>
      <c r="D12" s="159">
        <v>1</v>
      </c>
      <c r="E12" s="160">
        <f t="shared" si="0"/>
        <v>5</v>
      </c>
      <c r="F12" s="161"/>
      <c r="G12" s="162">
        <f t="shared" si="1"/>
        <v>0</v>
      </c>
    </row>
    <row r="13" spans="1:7" ht="12.75" customHeight="1">
      <c r="A13" s="501"/>
      <c r="B13" s="501"/>
      <c r="C13" s="158" t="s">
        <v>250</v>
      </c>
      <c r="D13" s="159">
        <v>1</v>
      </c>
      <c r="E13" s="160">
        <f t="shared" si="0"/>
        <v>5</v>
      </c>
      <c r="F13" s="161"/>
      <c r="G13" s="162">
        <f t="shared" si="1"/>
        <v>0</v>
      </c>
    </row>
    <row r="14" spans="1:7" ht="12.75" customHeight="1">
      <c r="A14" s="501"/>
      <c r="B14" s="501"/>
      <c r="C14" s="164" t="s">
        <v>251</v>
      </c>
      <c r="D14" s="165">
        <v>1</v>
      </c>
      <c r="E14" s="160">
        <f t="shared" si="0"/>
        <v>5</v>
      </c>
      <c r="F14" s="161"/>
      <c r="G14" s="162">
        <f t="shared" si="1"/>
        <v>0</v>
      </c>
    </row>
    <row r="15" spans="1:7" ht="12.75" customHeight="1">
      <c r="A15" s="501"/>
      <c r="B15" s="501"/>
      <c r="C15" s="166" t="s">
        <v>252</v>
      </c>
      <c r="D15" s="167">
        <v>1</v>
      </c>
      <c r="E15" s="160">
        <f t="shared" si="0"/>
        <v>5</v>
      </c>
      <c r="F15" s="161"/>
      <c r="G15" s="162">
        <f t="shared" si="1"/>
        <v>0</v>
      </c>
    </row>
    <row r="16" spans="1:7" ht="12.75" customHeight="1">
      <c r="A16" s="501"/>
      <c r="B16" s="501"/>
      <c r="C16" s="503" t="s">
        <v>253</v>
      </c>
      <c r="D16" s="434"/>
      <c r="E16" s="434"/>
      <c r="F16" s="435"/>
      <c r="G16" s="168">
        <f>SUM(G7:G15)</f>
        <v>0</v>
      </c>
    </row>
    <row r="17" spans="1:7" ht="12.75" customHeight="1">
      <c r="A17" s="502"/>
      <c r="B17" s="502"/>
      <c r="C17" s="504" t="s">
        <v>254</v>
      </c>
      <c r="D17" s="505"/>
      <c r="E17" s="505"/>
      <c r="F17" s="506"/>
      <c r="G17" s="169">
        <f>G16/30</f>
        <v>0</v>
      </c>
    </row>
    <row r="18" spans="1:7" ht="12.75" customHeight="1">
      <c r="A18" s="170"/>
      <c r="B18" s="171"/>
      <c r="C18" s="172"/>
      <c r="D18" s="172"/>
      <c r="E18" s="173"/>
      <c r="F18" s="173"/>
      <c r="G18" s="173"/>
    </row>
  </sheetData>
  <mergeCells count="10">
    <mergeCell ref="B7:B17"/>
    <mergeCell ref="C16:F16"/>
    <mergeCell ref="C17:F17"/>
    <mergeCell ref="A1:G1"/>
    <mergeCell ref="A2:A6"/>
    <mergeCell ref="B2:B6"/>
    <mergeCell ref="C2:C6"/>
    <mergeCell ref="D2:E4"/>
    <mergeCell ref="F2:G4"/>
    <mergeCell ref="A7:A17"/>
  </mergeCells>
  <dataValidations count="1">
    <dataValidation type="decimal" allowBlank="1" showDropDown="1" showInputMessage="1" showErrorMessage="1" prompt="Insira um número!" sqref="D15 D18" xr:uid="{00000000-0002-0000-0500-000000000000}">
      <formula1>1</formula1>
      <formula2>100</formula2>
    </dataValidation>
  </dataValidations>
  <pageMargins left="0.511811024" right="0.511811024" top="0.78740157499999996" bottom="0.78740157499999996" header="0" footer="0"/>
  <pageSetup paperSize="9" orientation="portrait"/>
  <headerFooter>
    <oddHeader>&amp;CANEXO I - F  - UNIFORMES (44h Segunda à Sexta)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pageSetUpPr fitToPage="1"/>
  </sheetPr>
  <dimension ref="A1:H28"/>
  <sheetViews>
    <sheetView showGridLines="0" workbookViewId="0">
      <selection activeCell="F35" sqref="F35"/>
    </sheetView>
  </sheetViews>
  <sheetFormatPr defaultColWidth="14.42578125" defaultRowHeight="15" customHeight="1"/>
  <cols>
    <col min="1" max="1" width="26" customWidth="1"/>
    <col min="2" max="2" width="34" customWidth="1"/>
    <col min="3" max="3" width="7.7109375" customWidth="1"/>
    <col min="4" max="4" width="37" customWidth="1"/>
    <col min="5" max="6" width="16.140625" customWidth="1"/>
    <col min="7" max="7" width="9.7109375" customWidth="1"/>
    <col min="8" max="8" width="14.85546875" customWidth="1"/>
  </cols>
  <sheetData>
    <row r="1" spans="1:8" ht="19.5" customHeight="1">
      <c r="A1" s="507" t="s">
        <v>255</v>
      </c>
      <c r="B1" s="427"/>
      <c r="C1" s="427"/>
      <c r="D1" s="427"/>
      <c r="E1" s="427"/>
      <c r="F1" s="427"/>
      <c r="G1" s="427"/>
      <c r="H1" s="428"/>
    </row>
    <row r="2" spans="1:8" ht="12.75" customHeight="1">
      <c r="A2" s="508" t="s">
        <v>1</v>
      </c>
      <c r="B2" s="509" t="s">
        <v>233</v>
      </c>
      <c r="C2" s="509" t="s">
        <v>1</v>
      </c>
      <c r="D2" s="509" t="s">
        <v>2</v>
      </c>
      <c r="E2" s="520" t="s">
        <v>256</v>
      </c>
      <c r="F2" s="520" t="s">
        <v>257</v>
      </c>
      <c r="G2" s="510" t="s">
        <v>235</v>
      </c>
      <c r="H2" s="514"/>
    </row>
    <row r="3" spans="1:8" ht="12.75" customHeight="1">
      <c r="A3" s="444"/>
      <c r="B3" s="437"/>
      <c r="C3" s="437"/>
      <c r="D3" s="437"/>
      <c r="E3" s="513"/>
      <c r="F3" s="513"/>
      <c r="G3" s="512"/>
      <c r="H3" s="515"/>
    </row>
    <row r="4" spans="1:8" ht="12.75" customHeight="1">
      <c r="A4" s="444"/>
      <c r="B4" s="437"/>
      <c r="C4" s="437"/>
      <c r="D4" s="437"/>
      <c r="E4" s="513"/>
      <c r="F4" s="431"/>
      <c r="G4" s="429"/>
      <c r="H4" s="516"/>
    </row>
    <row r="5" spans="1:8" ht="12.75" customHeight="1">
      <c r="A5" s="444"/>
      <c r="B5" s="437"/>
      <c r="C5" s="437"/>
      <c r="D5" s="437"/>
      <c r="E5" s="513"/>
      <c r="F5" s="147" t="s">
        <v>258</v>
      </c>
      <c r="G5" s="148" t="s">
        <v>238</v>
      </c>
      <c r="H5" s="149" t="s">
        <v>259</v>
      </c>
    </row>
    <row r="6" spans="1:8" ht="12.75" customHeight="1">
      <c r="A6" s="445"/>
      <c r="B6" s="458"/>
      <c r="C6" s="458"/>
      <c r="D6" s="458"/>
      <c r="E6" s="521"/>
      <c r="F6" s="151" t="s">
        <v>260</v>
      </c>
      <c r="G6" s="152" t="s">
        <v>242</v>
      </c>
      <c r="H6" s="153" t="s">
        <v>243</v>
      </c>
    </row>
    <row r="7" spans="1:8" ht="12.75" customHeight="1">
      <c r="A7" s="500">
        <v>1</v>
      </c>
      <c r="B7" s="517" t="s">
        <v>261</v>
      </c>
      <c r="C7" s="174">
        <v>1</v>
      </c>
      <c r="D7" s="175" t="s">
        <v>262</v>
      </c>
      <c r="E7" s="176" t="s">
        <v>263</v>
      </c>
      <c r="F7" s="155">
        <v>15</v>
      </c>
      <c r="G7" s="177"/>
      <c r="H7" s="178">
        <f t="shared" ref="H7:H20" si="0">G7*F7</f>
        <v>0</v>
      </c>
    </row>
    <row r="8" spans="1:8" ht="12.75" customHeight="1">
      <c r="A8" s="501"/>
      <c r="B8" s="518"/>
      <c r="C8" s="174">
        <v>2</v>
      </c>
      <c r="D8" s="179" t="s">
        <v>264</v>
      </c>
      <c r="E8" s="180" t="s">
        <v>265</v>
      </c>
      <c r="F8" s="181">
        <v>1</v>
      </c>
      <c r="G8" s="182"/>
      <c r="H8" s="183">
        <f t="shared" si="0"/>
        <v>0</v>
      </c>
    </row>
    <row r="9" spans="1:8" ht="12.75" customHeight="1">
      <c r="A9" s="501"/>
      <c r="B9" s="518"/>
      <c r="C9" s="174">
        <v>3</v>
      </c>
      <c r="D9" s="179" t="s">
        <v>266</v>
      </c>
      <c r="E9" s="180" t="s">
        <v>265</v>
      </c>
      <c r="F9" s="181">
        <v>1</v>
      </c>
      <c r="G9" s="182"/>
      <c r="H9" s="183">
        <f t="shared" si="0"/>
        <v>0</v>
      </c>
    </row>
    <row r="10" spans="1:8" ht="12.75" customHeight="1">
      <c r="A10" s="501"/>
      <c r="B10" s="518"/>
      <c r="C10" s="174">
        <v>4</v>
      </c>
      <c r="D10" s="179" t="s">
        <v>267</v>
      </c>
      <c r="E10" s="180" t="s">
        <v>265</v>
      </c>
      <c r="F10" s="181">
        <v>1</v>
      </c>
      <c r="G10" s="182"/>
      <c r="H10" s="183">
        <f t="shared" si="0"/>
        <v>0</v>
      </c>
    </row>
    <row r="11" spans="1:8" ht="12.75" customHeight="1">
      <c r="A11" s="501"/>
      <c r="B11" s="518"/>
      <c r="C11" s="174">
        <v>5</v>
      </c>
      <c r="D11" s="179" t="s">
        <v>268</v>
      </c>
      <c r="E11" s="180" t="s">
        <v>265</v>
      </c>
      <c r="F11" s="181">
        <v>1</v>
      </c>
      <c r="G11" s="182"/>
      <c r="H11" s="183">
        <f t="shared" si="0"/>
        <v>0</v>
      </c>
    </row>
    <row r="12" spans="1:8" ht="12.75" customHeight="1">
      <c r="A12" s="501"/>
      <c r="B12" s="518"/>
      <c r="C12" s="174">
        <v>6</v>
      </c>
      <c r="D12" s="179" t="s">
        <v>269</v>
      </c>
      <c r="E12" s="180" t="s">
        <v>265</v>
      </c>
      <c r="F12" s="181">
        <v>1</v>
      </c>
      <c r="G12" s="182"/>
      <c r="H12" s="183">
        <f t="shared" si="0"/>
        <v>0</v>
      </c>
    </row>
    <row r="13" spans="1:8" ht="12.75" customHeight="1">
      <c r="A13" s="501"/>
      <c r="B13" s="518"/>
      <c r="C13" s="174">
        <v>7</v>
      </c>
      <c r="D13" s="179" t="s">
        <v>270</v>
      </c>
      <c r="E13" s="180" t="s">
        <v>265</v>
      </c>
      <c r="F13" s="181">
        <v>1</v>
      </c>
      <c r="G13" s="182"/>
      <c r="H13" s="183">
        <f t="shared" si="0"/>
        <v>0</v>
      </c>
    </row>
    <row r="14" spans="1:8" ht="12.75" customHeight="1">
      <c r="A14" s="501"/>
      <c r="B14" s="518"/>
      <c r="C14" s="174">
        <v>8</v>
      </c>
      <c r="D14" s="179" t="s">
        <v>271</v>
      </c>
      <c r="E14" s="180" t="s">
        <v>265</v>
      </c>
      <c r="F14" s="181">
        <v>1</v>
      </c>
      <c r="G14" s="182"/>
      <c r="H14" s="183">
        <f t="shared" si="0"/>
        <v>0</v>
      </c>
    </row>
    <row r="15" spans="1:8" ht="12.75" customHeight="1">
      <c r="A15" s="501"/>
      <c r="B15" s="518"/>
      <c r="C15" s="174">
        <v>9</v>
      </c>
      <c r="D15" s="179" t="s">
        <v>272</v>
      </c>
      <c r="E15" s="180" t="s">
        <v>265</v>
      </c>
      <c r="F15" s="181">
        <v>1</v>
      </c>
      <c r="G15" s="182"/>
      <c r="H15" s="183">
        <f t="shared" si="0"/>
        <v>0</v>
      </c>
    </row>
    <row r="16" spans="1:8" ht="12.75" customHeight="1">
      <c r="A16" s="501"/>
      <c r="B16" s="518"/>
      <c r="C16" s="174">
        <v>10</v>
      </c>
      <c r="D16" s="179" t="s">
        <v>273</v>
      </c>
      <c r="E16" s="180" t="s">
        <v>265</v>
      </c>
      <c r="F16" s="181">
        <v>1</v>
      </c>
      <c r="G16" s="182"/>
      <c r="H16" s="183">
        <f t="shared" si="0"/>
        <v>0</v>
      </c>
    </row>
    <row r="17" spans="1:8" ht="12.75" customHeight="1">
      <c r="A17" s="501"/>
      <c r="B17" s="518"/>
      <c r="C17" s="174">
        <v>11</v>
      </c>
      <c r="D17" s="179" t="s">
        <v>274</v>
      </c>
      <c r="E17" s="180" t="s">
        <v>265</v>
      </c>
      <c r="F17" s="181">
        <v>1</v>
      </c>
      <c r="G17" s="182"/>
      <c r="H17" s="183">
        <f t="shared" si="0"/>
        <v>0</v>
      </c>
    </row>
    <row r="18" spans="1:8" ht="12.75" customHeight="1">
      <c r="A18" s="501"/>
      <c r="B18" s="518"/>
      <c r="C18" s="174">
        <v>12</v>
      </c>
      <c r="D18" s="179" t="s">
        <v>275</v>
      </c>
      <c r="E18" s="184" t="s">
        <v>265</v>
      </c>
      <c r="F18" s="159">
        <v>1</v>
      </c>
      <c r="G18" s="185"/>
      <c r="H18" s="183">
        <f t="shared" si="0"/>
        <v>0</v>
      </c>
    </row>
    <row r="19" spans="1:8" ht="12.75" customHeight="1">
      <c r="A19" s="501"/>
      <c r="B19" s="518"/>
      <c r="C19" s="174">
        <v>13</v>
      </c>
      <c r="D19" s="179" t="s">
        <v>276</v>
      </c>
      <c r="E19" s="184" t="s">
        <v>265</v>
      </c>
      <c r="F19" s="159">
        <v>1</v>
      </c>
      <c r="G19" s="185"/>
      <c r="H19" s="183">
        <f t="shared" si="0"/>
        <v>0</v>
      </c>
    </row>
    <row r="20" spans="1:8" ht="12.75" customHeight="1">
      <c r="A20" s="501"/>
      <c r="B20" s="518"/>
      <c r="C20" s="174">
        <v>14</v>
      </c>
      <c r="D20" s="179" t="s">
        <v>277</v>
      </c>
      <c r="E20" s="184" t="s">
        <v>265</v>
      </c>
      <c r="F20" s="159">
        <v>1</v>
      </c>
      <c r="G20" s="185"/>
      <c r="H20" s="183">
        <f t="shared" si="0"/>
        <v>0</v>
      </c>
    </row>
    <row r="21" spans="1:8" ht="12.75" customHeight="1">
      <c r="A21" s="501"/>
      <c r="B21" s="518"/>
      <c r="C21" s="174">
        <v>15</v>
      </c>
      <c r="D21" s="186" t="s">
        <v>278</v>
      </c>
      <c r="E21" s="184" t="s">
        <v>265</v>
      </c>
      <c r="F21" s="159">
        <v>1</v>
      </c>
      <c r="G21" s="185"/>
      <c r="H21" s="183">
        <f>F21*G21</f>
        <v>0</v>
      </c>
    </row>
    <row r="22" spans="1:8" ht="12.75" customHeight="1">
      <c r="A22" s="501"/>
      <c r="B22" s="518"/>
      <c r="C22" s="174">
        <v>16</v>
      </c>
      <c r="D22" s="186" t="s">
        <v>279</v>
      </c>
      <c r="E22" s="184" t="s">
        <v>265</v>
      </c>
      <c r="F22" s="159">
        <v>1</v>
      </c>
      <c r="G22" s="185"/>
      <c r="H22" s="183">
        <f>G22*F22</f>
        <v>0</v>
      </c>
    </row>
    <row r="23" spans="1:8" ht="12.75" customHeight="1">
      <c r="A23" s="501"/>
      <c r="B23" s="518"/>
      <c r="C23" s="174">
        <v>17</v>
      </c>
      <c r="D23" s="187" t="s">
        <v>246</v>
      </c>
      <c r="E23" s="184" t="s">
        <v>265</v>
      </c>
      <c r="F23" s="159">
        <v>1</v>
      </c>
      <c r="G23" s="185"/>
      <c r="H23" s="188">
        <f>F23*G23</f>
        <v>0</v>
      </c>
    </row>
    <row r="24" spans="1:8" ht="12.75" customHeight="1">
      <c r="A24" s="501"/>
      <c r="B24" s="518"/>
      <c r="C24" s="174">
        <v>18</v>
      </c>
      <c r="D24" s="189" t="s">
        <v>280</v>
      </c>
      <c r="E24" s="159" t="s">
        <v>281</v>
      </c>
      <c r="F24" s="159">
        <v>1</v>
      </c>
      <c r="G24" s="185"/>
      <c r="H24" s="183">
        <f t="shared" ref="H24:H25" si="1">G24*F24</f>
        <v>0</v>
      </c>
    </row>
    <row r="25" spans="1:8" ht="12.75" customHeight="1">
      <c r="A25" s="501"/>
      <c r="B25" s="518"/>
      <c r="C25" s="174">
        <v>19</v>
      </c>
      <c r="D25" s="189" t="s">
        <v>282</v>
      </c>
      <c r="E25" s="159" t="s">
        <v>281</v>
      </c>
      <c r="F25" s="159">
        <v>1</v>
      </c>
      <c r="G25" s="185"/>
      <c r="H25" s="183">
        <f t="shared" si="1"/>
        <v>0</v>
      </c>
    </row>
    <row r="26" spans="1:8" ht="12.75" customHeight="1">
      <c r="A26" s="501"/>
      <c r="B26" s="518"/>
      <c r="C26" s="503" t="s">
        <v>283</v>
      </c>
      <c r="D26" s="434"/>
      <c r="E26" s="434"/>
      <c r="F26" s="434"/>
      <c r="G26" s="435"/>
      <c r="H26" s="168">
        <f>SUM(H7:H25)</f>
        <v>0</v>
      </c>
    </row>
    <row r="27" spans="1:8" ht="12.75" customHeight="1">
      <c r="A27" s="502"/>
      <c r="B27" s="519"/>
      <c r="C27" s="504" t="s">
        <v>284</v>
      </c>
      <c r="D27" s="505"/>
      <c r="E27" s="505"/>
      <c r="F27" s="505"/>
      <c r="G27" s="506"/>
      <c r="H27" s="169">
        <f>H26/30</f>
        <v>0</v>
      </c>
    </row>
    <row r="28" spans="1:8" ht="12.75" customHeight="1">
      <c r="A28" s="170"/>
      <c r="B28" s="171"/>
      <c r="C28" s="172"/>
      <c r="D28" s="172"/>
      <c r="E28" s="173"/>
      <c r="F28" s="173"/>
      <c r="G28" s="173"/>
      <c r="H28" s="173"/>
    </row>
  </sheetData>
  <mergeCells count="12">
    <mergeCell ref="A1:H1"/>
    <mergeCell ref="B2:B6"/>
    <mergeCell ref="C2:C6"/>
    <mergeCell ref="D2:D6"/>
    <mergeCell ref="E2:E6"/>
    <mergeCell ref="F2:F4"/>
    <mergeCell ref="G2:H4"/>
    <mergeCell ref="A2:A6"/>
    <mergeCell ref="A7:A27"/>
    <mergeCell ref="B7:B27"/>
    <mergeCell ref="C26:G26"/>
    <mergeCell ref="C27:G27"/>
  </mergeCells>
  <pageMargins left="0.39370078740157477" right="0.39370078740157477" top="0.78740157499999996" bottom="0.78740157499999996" header="0" footer="0"/>
  <pageSetup paperSize="9" orientation="portrait"/>
  <headerFooter>
    <oddHeader>&amp;CANEXO I - G - EQUIPAMENTOS JAUZEIRO (44h Segunda à Sexta)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82"/>
  <sheetViews>
    <sheetView workbookViewId="0">
      <pane xSplit="3" topLeftCell="D1" activePane="topRight" state="frozen"/>
      <selection pane="topRight" activeCell="K8" sqref="K8:K9"/>
    </sheetView>
  </sheetViews>
  <sheetFormatPr defaultColWidth="14.42578125" defaultRowHeight="15" customHeight="1"/>
  <cols>
    <col min="1" max="1" width="9.85546875" customWidth="1"/>
    <col min="2" max="2" width="67" customWidth="1"/>
    <col min="3" max="3" width="12.140625" customWidth="1"/>
    <col min="4" max="4" width="15.140625" customWidth="1"/>
    <col min="5" max="5" width="14.5703125" customWidth="1"/>
    <col min="6" max="6" width="15.42578125" customWidth="1"/>
    <col min="7" max="7" width="14.42578125" customWidth="1"/>
    <col min="8" max="9" width="14.7109375" customWidth="1"/>
    <col min="10" max="10" width="14.5703125" customWidth="1"/>
    <col min="11" max="11" width="13.7109375" customWidth="1"/>
    <col min="12" max="12" width="14.7109375" customWidth="1"/>
    <col min="13" max="13" width="12.28515625" customWidth="1"/>
  </cols>
  <sheetData>
    <row r="1" spans="1:13" ht="14.25" customHeight="1">
      <c r="A1" s="615" t="s">
        <v>285</v>
      </c>
      <c r="B1" s="616" t="s">
        <v>286</v>
      </c>
      <c r="C1" s="617" t="s">
        <v>287</v>
      </c>
      <c r="D1" s="618" t="s">
        <v>50</v>
      </c>
      <c r="E1" s="618" t="s">
        <v>52</v>
      </c>
      <c r="F1" s="618" t="s">
        <v>54</v>
      </c>
      <c r="G1" s="618" t="s">
        <v>55</v>
      </c>
      <c r="H1" s="618" t="s">
        <v>56</v>
      </c>
      <c r="I1" s="618" t="s">
        <v>57</v>
      </c>
      <c r="J1" s="615" t="s">
        <v>288</v>
      </c>
      <c r="K1" s="616" t="s">
        <v>289</v>
      </c>
      <c r="L1" s="619" t="s">
        <v>290</v>
      </c>
      <c r="M1" s="190"/>
    </row>
    <row r="2" spans="1:13" ht="14.25" customHeight="1">
      <c r="A2" s="620"/>
      <c r="B2" s="621"/>
      <c r="C2" s="622"/>
      <c r="D2" s="623"/>
      <c r="E2" s="623"/>
      <c r="F2" s="623"/>
      <c r="G2" s="623"/>
      <c r="H2" s="623"/>
      <c r="I2" s="623"/>
      <c r="J2" s="620"/>
      <c r="K2" s="621"/>
      <c r="L2" s="621"/>
      <c r="M2" s="190"/>
    </row>
    <row r="3" spans="1:13" ht="18.75" customHeight="1">
      <c r="A3" s="620"/>
      <c r="B3" s="621"/>
      <c r="C3" s="622"/>
      <c r="D3" s="624"/>
      <c r="E3" s="624"/>
      <c r="F3" s="624"/>
      <c r="G3" s="624"/>
      <c r="H3" s="624"/>
      <c r="I3" s="624"/>
      <c r="J3" s="620"/>
      <c r="K3" s="621"/>
      <c r="L3" s="621"/>
      <c r="M3" s="190"/>
    </row>
    <row r="4" spans="1:13" ht="36.75" customHeight="1">
      <c r="A4" s="620"/>
      <c r="B4" s="621"/>
      <c r="C4" s="622"/>
      <c r="D4" s="625" t="s">
        <v>291</v>
      </c>
      <c r="E4" s="625" t="s">
        <v>291</v>
      </c>
      <c r="F4" s="625" t="s">
        <v>291</v>
      </c>
      <c r="G4" s="625" t="s">
        <v>291</v>
      </c>
      <c r="H4" s="625" t="s">
        <v>291</v>
      </c>
      <c r="I4" s="625" t="s">
        <v>291</v>
      </c>
      <c r="J4" s="620"/>
      <c r="K4" s="621"/>
      <c r="L4" s="621"/>
      <c r="M4" s="190"/>
    </row>
    <row r="5" spans="1:13" ht="18.75" customHeight="1">
      <c r="A5" s="626"/>
      <c r="B5" s="627"/>
      <c r="C5" s="622"/>
      <c r="D5" s="625" t="s">
        <v>240</v>
      </c>
      <c r="E5" s="625" t="s">
        <v>260</v>
      </c>
      <c r="F5" s="625" t="s">
        <v>242</v>
      </c>
      <c r="G5" s="625" t="s">
        <v>292</v>
      </c>
      <c r="H5" s="625" t="s">
        <v>293</v>
      </c>
      <c r="I5" s="625" t="s">
        <v>294</v>
      </c>
      <c r="J5" s="620"/>
      <c r="K5" s="627"/>
      <c r="L5" s="621"/>
      <c r="M5" s="190"/>
    </row>
    <row r="6" spans="1:13" ht="15" hidden="1" customHeight="1">
      <c r="A6" s="628"/>
      <c r="B6" s="629"/>
      <c r="C6" s="630"/>
      <c r="D6" s="631"/>
      <c r="E6" s="631"/>
      <c r="F6" s="631"/>
      <c r="G6" s="631"/>
      <c r="H6" s="631"/>
      <c r="I6" s="631"/>
      <c r="J6" s="626"/>
      <c r="K6" s="632"/>
      <c r="L6" s="627"/>
      <c r="M6" s="190"/>
    </row>
    <row r="7" spans="1:13" ht="1.5" customHeight="1">
      <c r="A7" s="191"/>
      <c r="B7" s="192"/>
      <c r="C7" s="193"/>
      <c r="D7" s="191"/>
      <c r="E7" s="191"/>
      <c r="F7" s="191"/>
      <c r="G7" s="191"/>
      <c r="H7" s="191"/>
      <c r="I7" s="194"/>
      <c r="J7" s="195"/>
      <c r="K7" s="196"/>
      <c r="L7" s="196"/>
      <c r="M7" s="190"/>
    </row>
    <row r="8" spans="1:13" ht="14.25" customHeight="1">
      <c r="A8" s="528">
        <v>1</v>
      </c>
      <c r="B8" s="529" t="s">
        <v>295</v>
      </c>
      <c r="C8" s="530" t="s">
        <v>296</v>
      </c>
      <c r="D8" s="528">
        <v>5</v>
      </c>
      <c r="E8" s="528">
        <v>10</v>
      </c>
      <c r="F8" s="528">
        <v>6</v>
      </c>
      <c r="G8" s="528">
        <v>5</v>
      </c>
      <c r="H8" s="528">
        <v>6</v>
      </c>
      <c r="I8" s="528">
        <v>6</v>
      </c>
      <c r="J8" s="633">
        <f>D8+E8+F8+G8+H8+I8</f>
        <v>38</v>
      </c>
      <c r="K8" s="658"/>
      <c r="L8" s="634">
        <f>J8*K8</f>
        <v>0</v>
      </c>
      <c r="M8" s="198"/>
    </row>
    <row r="9" spans="1:13" ht="14.25" customHeight="1">
      <c r="A9" s="525"/>
      <c r="B9" s="438"/>
      <c r="C9" s="527"/>
      <c r="D9" s="525"/>
      <c r="E9" s="525"/>
      <c r="F9" s="525"/>
      <c r="G9" s="525"/>
      <c r="H9" s="525"/>
      <c r="I9" s="525"/>
      <c r="J9" s="635"/>
      <c r="K9" s="656"/>
      <c r="L9" s="636"/>
      <c r="M9" s="198"/>
    </row>
    <row r="10" spans="1:13" ht="14.25" customHeight="1">
      <c r="A10" s="191">
        <v>2</v>
      </c>
      <c r="B10" s="199" t="s">
        <v>297</v>
      </c>
      <c r="C10" s="200" t="s">
        <v>296</v>
      </c>
      <c r="D10" s="194">
        <v>3</v>
      </c>
      <c r="E10" s="194">
        <v>20</v>
      </c>
      <c r="F10" s="194">
        <v>7</v>
      </c>
      <c r="G10" s="194">
        <v>5</v>
      </c>
      <c r="H10" s="194">
        <v>4</v>
      </c>
      <c r="I10" s="194">
        <v>5</v>
      </c>
      <c r="J10" s="637">
        <f t="shared" ref="J10:J12" si="0">D10+E10+F10+G10+H10+I10</f>
        <v>44</v>
      </c>
      <c r="K10" s="659"/>
      <c r="L10" s="638">
        <f t="shared" ref="L10:L12" si="1">J10*K10</f>
        <v>0</v>
      </c>
      <c r="M10" s="198"/>
    </row>
    <row r="11" spans="1:13" ht="14.25" customHeight="1">
      <c r="A11" s="191">
        <v>3</v>
      </c>
      <c r="B11" s="199" t="s">
        <v>298</v>
      </c>
      <c r="C11" s="193" t="s">
        <v>299</v>
      </c>
      <c r="D11" s="194">
        <v>20</v>
      </c>
      <c r="E11" s="194">
        <v>30</v>
      </c>
      <c r="F11" s="194">
        <v>20</v>
      </c>
      <c r="G11" s="194">
        <v>20</v>
      </c>
      <c r="H11" s="194">
        <v>30</v>
      </c>
      <c r="I11" s="194">
        <v>20</v>
      </c>
      <c r="J11" s="637">
        <f t="shared" si="0"/>
        <v>140</v>
      </c>
      <c r="K11" s="659"/>
      <c r="L11" s="638">
        <f t="shared" si="1"/>
        <v>0</v>
      </c>
      <c r="M11" s="198"/>
    </row>
    <row r="12" spans="1:13" ht="14.25" customHeight="1">
      <c r="A12" s="528">
        <v>4</v>
      </c>
      <c r="B12" s="531" t="s">
        <v>300</v>
      </c>
      <c r="C12" s="532" t="s">
        <v>296</v>
      </c>
      <c r="D12" s="528">
        <v>4</v>
      </c>
      <c r="E12" s="528">
        <v>20</v>
      </c>
      <c r="F12" s="528">
        <v>5</v>
      </c>
      <c r="G12" s="528">
        <v>5</v>
      </c>
      <c r="H12" s="528">
        <v>3</v>
      </c>
      <c r="I12" s="528">
        <v>3</v>
      </c>
      <c r="J12" s="633">
        <f t="shared" si="0"/>
        <v>40</v>
      </c>
      <c r="K12" s="658"/>
      <c r="L12" s="634">
        <f t="shared" si="1"/>
        <v>0</v>
      </c>
      <c r="M12" s="198"/>
    </row>
    <row r="13" spans="1:13" ht="14.25" customHeight="1">
      <c r="A13" s="525"/>
      <c r="B13" s="438"/>
      <c r="C13" s="527"/>
      <c r="D13" s="525"/>
      <c r="E13" s="525"/>
      <c r="F13" s="525"/>
      <c r="G13" s="525"/>
      <c r="H13" s="525"/>
      <c r="I13" s="525"/>
      <c r="J13" s="635"/>
      <c r="K13" s="656"/>
      <c r="L13" s="636"/>
      <c r="M13" s="198"/>
    </row>
    <row r="14" spans="1:13" ht="14.25" customHeight="1">
      <c r="A14" s="191">
        <v>5</v>
      </c>
      <c r="B14" s="199" t="s">
        <v>301</v>
      </c>
      <c r="C14" s="193" t="s">
        <v>302</v>
      </c>
      <c r="D14" s="194">
        <v>12</v>
      </c>
      <c r="E14" s="194">
        <v>15</v>
      </c>
      <c r="F14" s="194">
        <v>6</v>
      </c>
      <c r="G14" s="194">
        <v>6</v>
      </c>
      <c r="H14" s="194">
        <v>6</v>
      </c>
      <c r="I14" s="194">
        <v>4</v>
      </c>
      <c r="J14" s="637">
        <f t="shared" ref="J14:J16" si="2">D14+E14+F14+G14+H14+I14</f>
        <v>49</v>
      </c>
      <c r="K14" s="659"/>
      <c r="L14" s="638">
        <f t="shared" ref="L14:L16" si="3">J14*K14</f>
        <v>0</v>
      </c>
      <c r="M14" s="198"/>
    </row>
    <row r="15" spans="1:13" ht="14.25" customHeight="1">
      <c r="A15" s="191">
        <v>6</v>
      </c>
      <c r="B15" s="199" t="s">
        <v>303</v>
      </c>
      <c r="C15" s="200" t="s">
        <v>296</v>
      </c>
      <c r="D15" s="194">
        <v>6</v>
      </c>
      <c r="E15" s="194">
        <v>10</v>
      </c>
      <c r="F15" s="194">
        <v>7</v>
      </c>
      <c r="G15" s="194">
        <v>8</v>
      </c>
      <c r="H15" s="194">
        <v>6</v>
      </c>
      <c r="I15" s="194">
        <v>4</v>
      </c>
      <c r="J15" s="637">
        <f t="shared" si="2"/>
        <v>41</v>
      </c>
      <c r="K15" s="659"/>
      <c r="L15" s="638">
        <f t="shared" si="3"/>
        <v>0</v>
      </c>
      <c r="M15" s="198"/>
    </row>
    <row r="16" spans="1:13" ht="14.25" customHeight="1">
      <c r="A16" s="528">
        <v>7</v>
      </c>
      <c r="B16" s="531" t="s">
        <v>304</v>
      </c>
      <c r="C16" s="532" t="s">
        <v>302</v>
      </c>
      <c r="D16" s="528">
        <v>15</v>
      </c>
      <c r="E16" s="528">
        <v>15</v>
      </c>
      <c r="F16" s="528">
        <v>22</v>
      </c>
      <c r="G16" s="528">
        <v>20</v>
      </c>
      <c r="H16" s="528">
        <v>15</v>
      </c>
      <c r="I16" s="528">
        <v>24</v>
      </c>
      <c r="J16" s="633">
        <f t="shared" si="2"/>
        <v>111</v>
      </c>
      <c r="K16" s="658"/>
      <c r="L16" s="634">
        <f t="shared" si="3"/>
        <v>0</v>
      </c>
      <c r="M16" s="198"/>
    </row>
    <row r="17" spans="1:13" ht="14.25" customHeight="1">
      <c r="A17" s="524"/>
      <c r="B17" s="437"/>
      <c r="C17" s="526"/>
      <c r="D17" s="524"/>
      <c r="E17" s="524"/>
      <c r="F17" s="524"/>
      <c r="G17" s="524"/>
      <c r="H17" s="524"/>
      <c r="I17" s="524"/>
      <c r="J17" s="639"/>
      <c r="K17" s="657"/>
      <c r="L17" s="640"/>
      <c r="M17" s="198"/>
    </row>
    <row r="18" spans="1:13" ht="14.25" customHeight="1">
      <c r="A18" s="525"/>
      <c r="B18" s="438"/>
      <c r="C18" s="527"/>
      <c r="D18" s="525"/>
      <c r="E18" s="525"/>
      <c r="F18" s="525"/>
      <c r="G18" s="525"/>
      <c r="H18" s="525"/>
      <c r="I18" s="525"/>
      <c r="J18" s="635"/>
      <c r="K18" s="656"/>
      <c r="L18" s="636"/>
      <c r="M18" s="198"/>
    </row>
    <row r="19" spans="1:13" ht="14.25" customHeight="1">
      <c r="A19" s="191">
        <v>8</v>
      </c>
      <c r="B19" s="199" t="s">
        <v>305</v>
      </c>
      <c r="C19" s="193" t="s">
        <v>302</v>
      </c>
      <c r="D19" s="194">
        <v>2</v>
      </c>
      <c r="E19" s="194">
        <v>12</v>
      </c>
      <c r="F19" s="194">
        <v>3</v>
      </c>
      <c r="G19" s="194">
        <v>3</v>
      </c>
      <c r="H19" s="191"/>
      <c r="I19" s="194">
        <v>3</v>
      </c>
      <c r="J19" s="637">
        <f t="shared" ref="J19:J20" si="4">D19+E19+F19+G19+H19+I19</f>
        <v>23</v>
      </c>
      <c r="K19" s="659"/>
      <c r="L19" s="638">
        <f t="shared" ref="L19:L20" si="5">J19*K19</f>
        <v>0</v>
      </c>
      <c r="M19" s="198"/>
    </row>
    <row r="20" spans="1:13" ht="14.25" customHeight="1">
      <c r="A20" s="528">
        <v>9</v>
      </c>
      <c r="B20" s="539" t="s">
        <v>306</v>
      </c>
      <c r="C20" s="530" t="s">
        <v>307</v>
      </c>
      <c r="D20" s="528">
        <v>8</v>
      </c>
      <c r="E20" s="528">
        <v>20</v>
      </c>
      <c r="F20" s="528">
        <v>4</v>
      </c>
      <c r="G20" s="528">
        <v>6</v>
      </c>
      <c r="H20" s="528">
        <v>1</v>
      </c>
      <c r="I20" s="528">
        <v>1</v>
      </c>
      <c r="J20" s="633">
        <f t="shared" si="4"/>
        <v>40</v>
      </c>
      <c r="K20" s="658"/>
      <c r="L20" s="634">
        <f t="shared" si="5"/>
        <v>0</v>
      </c>
      <c r="M20" s="198"/>
    </row>
    <row r="21" spans="1:13" ht="14.25" customHeight="1">
      <c r="A21" s="525"/>
      <c r="B21" s="438"/>
      <c r="C21" s="527"/>
      <c r="D21" s="525"/>
      <c r="E21" s="525"/>
      <c r="F21" s="525"/>
      <c r="G21" s="525"/>
      <c r="H21" s="525"/>
      <c r="I21" s="525"/>
      <c r="J21" s="635"/>
      <c r="K21" s="656"/>
      <c r="L21" s="636"/>
      <c r="M21" s="198"/>
    </row>
    <row r="22" spans="1:13" ht="14.25" customHeight="1">
      <c r="A22" s="528">
        <v>10</v>
      </c>
      <c r="B22" s="529" t="s">
        <v>308</v>
      </c>
      <c r="C22" s="530" t="s">
        <v>302</v>
      </c>
      <c r="D22" s="528">
        <v>20</v>
      </c>
      <c r="E22" s="528">
        <v>30</v>
      </c>
      <c r="F22" s="528">
        <v>12</v>
      </c>
      <c r="G22" s="528">
        <v>12</v>
      </c>
      <c r="H22" s="528">
        <v>10</v>
      </c>
      <c r="I22" s="528">
        <v>15</v>
      </c>
      <c r="J22" s="633">
        <f>D22+E22+F22+G22+H22+I22</f>
        <v>99</v>
      </c>
      <c r="K22" s="658"/>
      <c r="L22" s="634">
        <f>J22*K22</f>
        <v>0</v>
      </c>
      <c r="M22" s="198"/>
    </row>
    <row r="23" spans="1:13" ht="14.25" customHeight="1">
      <c r="A23" s="525"/>
      <c r="B23" s="438"/>
      <c r="C23" s="527"/>
      <c r="D23" s="525"/>
      <c r="E23" s="525"/>
      <c r="F23" s="525"/>
      <c r="G23" s="525"/>
      <c r="H23" s="525"/>
      <c r="I23" s="525"/>
      <c r="J23" s="635"/>
      <c r="K23" s="656"/>
      <c r="L23" s="636"/>
      <c r="M23" s="198"/>
    </row>
    <row r="24" spans="1:13" ht="14.25" customHeight="1">
      <c r="A24" s="528">
        <v>11</v>
      </c>
      <c r="B24" s="529" t="s">
        <v>309</v>
      </c>
      <c r="C24" s="530" t="s">
        <v>302</v>
      </c>
      <c r="D24" s="528">
        <v>15</v>
      </c>
      <c r="E24" s="528">
        <v>24</v>
      </c>
      <c r="F24" s="528">
        <v>18</v>
      </c>
      <c r="G24" s="528">
        <v>12</v>
      </c>
      <c r="H24" s="528">
        <v>10</v>
      </c>
      <c r="I24" s="528">
        <v>20</v>
      </c>
      <c r="J24" s="633">
        <f>D24+E24+F24+G24+H24+I24</f>
        <v>99</v>
      </c>
      <c r="K24" s="658"/>
      <c r="L24" s="634">
        <f>J24*K24</f>
        <v>0</v>
      </c>
      <c r="M24" s="198"/>
    </row>
    <row r="25" spans="1:13" ht="14.25" customHeight="1">
      <c r="A25" s="525"/>
      <c r="B25" s="438"/>
      <c r="C25" s="527"/>
      <c r="D25" s="525"/>
      <c r="E25" s="525"/>
      <c r="F25" s="525"/>
      <c r="G25" s="525"/>
      <c r="H25" s="525"/>
      <c r="I25" s="525"/>
      <c r="J25" s="635"/>
      <c r="K25" s="656"/>
      <c r="L25" s="636"/>
      <c r="M25" s="198"/>
    </row>
    <row r="26" spans="1:13" ht="14.25" customHeight="1">
      <c r="A26" s="191">
        <v>12</v>
      </c>
      <c r="B26" s="199" t="s">
        <v>310</v>
      </c>
      <c r="C26" s="193" t="s">
        <v>302</v>
      </c>
      <c r="D26" s="194">
        <v>6</v>
      </c>
      <c r="E26" s="194">
        <v>12</v>
      </c>
      <c r="F26" s="194">
        <v>5</v>
      </c>
      <c r="G26" s="194">
        <v>10</v>
      </c>
      <c r="H26" s="194">
        <v>2</v>
      </c>
      <c r="I26" s="194">
        <v>2</v>
      </c>
      <c r="J26" s="637">
        <f t="shared" ref="J26:J29" si="6">D26+E26+F26+G26+H26+I26</f>
        <v>37</v>
      </c>
      <c r="K26" s="659"/>
      <c r="L26" s="638">
        <f t="shared" ref="L26:L29" si="7">J26*K26</f>
        <v>0</v>
      </c>
      <c r="M26" s="198"/>
    </row>
    <row r="27" spans="1:13" ht="14.25" customHeight="1">
      <c r="A27" s="191">
        <v>13</v>
      </c>
      <c r="B27" s="199" t="s">
        <v>311</v>
      </c>
      <c r="C27" s="193" t="s">
        <v>302</v>
      </c>
      <c r="D27" s="194">
        <v>2</v>
      </c>
      <c r="E27" s="194">
        <v>10</v>
      </c>
      <c r="F27" s="194">
        <v>5</v>
      </c>
      <c r="G27" s="194">
        <v>6</v>
      </c>
      <c r="H27" s="194">
        <v>4</v>
      </c>
      <c r="I27" s="194">
        <v>2</v>
      </c>
      <c r="J27" s="637">
        <f t="shared" si="6"/>
        <v>29</v>
      </c>
      <c r="K27" s="659"/>
      <c r="L27" s="638">
        <f t="shared" si="7"/>
        <v>0</v>
      </c>
      <c r="M27" s="198"/>
    </row>
    <row r="28" spans="1:13" ht="14.25" customHeight="1">
      <c r="A28" s="191">
        <v>14</v>
      </c>
      <c r="B28" s="199" t="s">
        <v>312</v>
      </c>
      <c r="C28" s="193" t="s">
        <v>302</v>
      </c>
      <c r="D28" s="194">
        <v>10</v>
      </c>
      <c r="E28" s="194">
        <v>15</v>
      </c>
      <c r="F28" s="194">
        <v>4</v>
      </c>
      <c r="G28" s="194">
        <v>6</v>
      </c>
      <c r="H28" s="194">
        <v>5</v>
      </c>
      <c r="I28" s="194">
        <v>4</v>
      </c>
      <c r="J28" s="637">
        <f t="shared" si="6"/>
        <v>44</v>
      </c>
      <c r="K28" s="659"/>
      <c r="L28" s="638">
        <f t="shared" si="7"/>
        <v>0</v>
      </c>
      <c r="M28" s="198"/>
    </row>
    <row r="29" spans="1:13" ht="14.25" customHeight="1">
      <c r="A29" s="528">
        <v>15</v>
      </c>
      <c r="B29" s="529" t="s">
        <v>313</v>
      </c>
      <c r="C29" s="530" t="s">
        <v>302</v>
      </c>
      <c r="D29" s="528">
        <v>10</v>
      </c>
      <c r="E29" s="528">
        <v>10</v>
      </c>
      <c r="F29" s="528">
        <v>10</v>
      </c>
      <c r="G29" s="528">
        <v>10</v>
      </c>
      <c r="H29" s="528">
        <v>6</v>
      </c>
      <c r="I29" s="528">
        <v>3</v>
      </c>
      <c r="J29" s="633">
        <f t="shared" si="6"/>
        <v>49</v>
      </c>
      <c r="K29" s="658"/>
      <c r="L29" s="634">
        <f t="shared" si="7"/>
        <v>0</v>
      </c>
      <c r="M29" s="198"/>
    </row>
    <row r="30" spans="1:13" ht="14.25" customHeight="1">
      <c r="A30" s="525"/>
      <c r="B30" s="438"/>
      <c r="C30" s="527"/>
      <c r="D30" s="525"/>
      <c r="E30" s="525"/>
      <c r="F30" s="525"/>
      <c r="G30" s="525"/>
      <c r="H30" s="525"/>
      <c r="I30" s="525"/>
      <c r="J30" s="635"/>
      <c r="K30" s="656"/>
      <c r="L30" s="636"/>
      <c r="M30" s="198"/>
    </row>
    <row r="31" spans="1:13" ht="14.25" customHeight="1">
      <c r="A31" s="191">
        <v>16</v>
      </c>
      <c r="B31" s="202" t="s">
        <v>314</v>
      </c>
      <c r="C31" s="193" t="s">
        <v>302</v>
      </c>
      <c r="D31" s="194">
        <v>30</v>
      </c>
      <c r="E31" s="194">
        <v>50</v>
      </c>
      <c r="F31" s="194">
        <v>20</v>
      </c>
      <c r="G31" s="194">
        <v>16</v>
      </c>
      <c r="H31" s="194">
        <v>12</v>
      </c>
      <c r="I31" s="194">
        <v>15</v>
      </c>
      <c r="J31" s="637">
        <f t="shared" ref="J31:J32" si="8">D31+E31+F31+G31+H31+I31</f>
        <v>143</v>
      </c>
      <c r="K31" s="659"/>
      <c r="L31" s="638">
        <f t="shared" ref="L31:L32" si="9">J31*K31</f>
        <v>0</v>
      </c>
      <c r="M31" s="198"/>
    </row>
    <row r="32" spans="1:13" ht="14.25" customHeight="1">
      <c r="A32" s="528">
        <v>17</v>
      </c>
      <c r="B32" s="529" t="s">
        <v>315</v>
      </c>
      <c r="C32" s="530" t="s">
        <v>302</v>
      </c>
      <c r="D32" s="528">
        <v>20</v>
      </c>
      <c r="E32" s="528">
        <v>25</v>
      </c>
      <c r="F32" s="528">
        <v>15</v>
      </c>
      <c r="G32" s="528">
        <v>10</v>
      </c>
      <c r="H32" s="528">
        <v>10</v>
      </c>
      <c r="I32" s="528">
        <v>10</v>
      </c>
      <c r="J32" s="633">
        <f t="shared" si="8"/>
        <v>90</v>
      </c>
      <c r="K32" s="658"/>
      <c r="L32" s="634">
        <f t="shared" si="9"/>
        <v>0</v>
      </c>
      <c r="M32" s="198"/>
    </row>
    <row r="33" spans="1:13" ht="14.25" customHeight="1">
      <c r="A33" s="524"/>
      <c r="B33" s="437"/>
      <c r="C33" s="526"/>
      <c r="D33" s="524"/>
      <c r="E33" s="524"/>
      <c r="F33" s="524"/>
      <c r="G33" s="524"/>
      <c r="H33" s="524"/>
      <c r="I33" s="524"/>
      <c r="J33" s="639"/>
      <c r="K33" s="657"/>
      <c r="L33" s="640"/>
      <c r="M33" s="198"/>
    </row>
    <row r="34" spans="1:13" ht="14.25" customHeight="1">
      <c r="A34" s="524"/>
      <c r="B34" s="437"/>
      <c r="C34" s="526"/>
      <c r="D34" s="524"/>
      <c r="E34" s="524"/>
      <c r="F34" s="524"/>
      <c r="G34" s="524"/>
      <c r="H34" s="524"/>
      <c r="I34" s="524"/>
      <c r="J34" s="639"/>
      <c r="K34" s="657"/>
      <c r="L34" s="640"/>
      <c r="M34" s="198"/>
    </row>
    <row r="35" spans="1:13" ht="14.25" customHeight="1">
      <c r="A35" s="525"/>
      <c r="B35" s="438"/>
      <c r="C35" s="527"/>
      <c r="D35" s="525"/>
      <c r="E35" s="525"/>
      <c r="F35" s="525"/>
      <c r="G35" s="525"/>
      <c r="H35" s="525"/>
      <c r="I35" s="525"/>
      <c r="J35" s="635"/>
      <c r="K35" s="656"/>
      <c r="L35" s="636"/>
      <c r="M35" s="198"/>
    </row>
    <row r="36" spans="1:13" ht="14.25" customHeight="1">
      <c r="A36" s="536">
        <v>18</v>
      </c>
      <c r="B36" s="203" t="s">
        <v>316</v>
      </c>
      <c r="C36" s="533" t="s">
        <v>317</v>
      </c>
      <c r="D36" s="528">
        <v>30</v>
      </c>
      <c r="E36" s="528">
        <v>180</v>
      </c>
      <c r="F36" s="528">
        <v>70</v>
      </c>
      <c r="G36" s="528">
        <v>40</v>
      </c>
      <c r="H36" s="528">
        <v>85</v>
      </c>
      <c r="I36" s="528">
        <v>72</v>
      </c>
      <c r="J36" s="633">
        <f>D36+E36+F36+G36+H36+I36</f>
        <v>477</v>
      </c>
      <c r="K36" s="658"/>
      <c r="L36" s="634">
        <f>J36*K36</f>
        <v>0</v>
      </c>
      <c r="M36" s="198"/>
    </row>
    <row r="37" spans="1:13" ht="14.25" customHeight="1">
      <c r="A37" s="522"/>
      <c r="B37" s="204" t="s">
        <v>318</v>
      </c>
      <c r="C37" s="534"/>
      <c r="D37" s="524"/>
      <c r="E37" s="524"/>
      <c r="F37" s="524"/>
      <c r="G37" s="524"/>
      <c r="H37" s="524"/>
      <c r="I37" s="524"/>
      <c r="J37" s="639"/>
      <c r="K37" s="657"/>
      <c r="L37" s="640"/>
      <c r="M37" s="198"/>
    </row>
    <row r="38" spans="1:13" ht="14.25" customHeight="1">
      <c r="A38" s="522"/>
      <c r="B38" s="204" t="s">
        <v>319</v>
      </c>
      <c r="C38" s="534"/>
      <c r="D38" s="524"/>
      <c r="E38" s="524"/>
      <c r="F38" s="524"/>
      <c r="G38" s="524"/>
      <c r="H38" s="524"/>
      <c r="I38" s="524"/>
      <c r="J38" s="639"/>
      <c r="K38" s="657"/>
      <c r="L38" s="640"/>
      <c r="M38" s="198"/>
    </row>
    <row r="39" spans="1:13" ht="14.25" customHeight="1">
      <c r="A39" s="522"/>
      <c r="B39" s="204" t="s">
        <v>320</v>
      </c>
      <c r="C39" s="534"/>
      <c r="D39" s="524"/>
      <c r="E39" s="524"/>
      <c r="F39" s="524"/>
      <c r="G39" s="524"/>
      <c r="H39" s="524"/>
      <c r="I39" s="524"/>
      <c r="J39" s="639"/>
      <c r="K39" s="657"/>
      <c r="L39" s="640"/>
      <c r="M39" s="198"/>
    </row>
    <row r="40" spans="1:13" ht="14.25" customHeight="1">
      <c r="A40" s="522"/>
      <c r="B40" s="204" t="s">
        <v>321</v>
      </c>
      <c r="C40" s="534"/>
      <c r="D40" s="524"/>
      <c r="E40" s="524"/>
      <c r="F40" s="524"/>
      <c r="G40" s="524"/>
      <c r="H40" s="524"/>
      <c r="I40" s="524"/>
      <c r="J40" s="639"/>
      <c r="K40" s="657"/>
      <c r="L40" s="640"/>
      <c r="M40" s="198"/>
    </row>
    <row r="41" spans="1:13" ht="14.25" customHeight="1">
      <c r="A41" s="522"/>
      <c r="B41" s="204" t="s">
        <v>322</v>
      </c>
      <c r="C41" s="534"/>
      <c r="D41" s="524"/>
      <c r="E41" s="524"/>
      <c r="F41" s="524"/>
      <c r="G41" s="524"/>
      <c r="H41" s="524"/>
      <c r="I41" s="524"/>
      <c r="J41" s="639"/>
      <c r="K41" s="657"/>
      <c r="L41" s="640"/>
      <c r="M41" s="198"/>
    </row>
    <row r="42" spans="1:13" ht="14.25" customHeight="1">
      <c r="A42" s="522"/>
      <c r="B42" s="204" t="s">
        <v>323</v>
      </c>
      <c r="C42" s="534"/>
      <c r="D42" s="524"/>
      <c r="E42" s="524"/>
      <c r="F42" s="524"/>
      <c r="G42" s="524"/>
      <c r="H42" s="524"/>
      <c r="I42" s="524"/>
      <c r="J42" s="639"/>
      <c r="K42" s="657"/>
      <c r="L42" s="640"/>
      <c r="M42" s="198"/>
    </row>
    <row r="43" spans="1:13" ht="14.25" customHeight="1">
      <c r="A43" s="523"/>
      <c r="B43" s="205" t="s">
        <v>324</v>
      </c>
      <c r="C43" s="535"/>
      <c r="D43" s="525"/>
      <c r="E43" s="525"/>
      <c r="F43" s="525"/>
      <c r="G43" s="525"/>
      <c r="H43" s="525"/>
      <c r="I43" s="525"/>
      <c r="J43" s="635"/>
      <c r="K43" s="656"/>
      <c r="L43" s="636"/>
      <c r="M43" s="198"/>
    </row>
    <row r="44" spans="1:13" ht="14.25" customHeight="1">
      <c r="A44" s="528">
        <v>19</v>
      </c>
      <c r="B44" s="538" t="s">
        <v>325</v>
      </c>
      <c r="C44" s="530" t="s">
        <v>326</v>
      </c>
      <c r="D44" s="528">
        <v>20</v>
      </c>
      <c r="E44" s="528">
        <v>300</v>
      </c>
      <c r="F44" s="528">
        <v>50</v>
      </c>
      <c r="G44" s="528">
        <v>60</v>
      </c>
      <c r="H44" s="528">
        <v>15</v>
      </c>
      <c r="I44" s="528">
        <v>80</v>
      </c>
      <c r="J44" s="633">
        <f>D44+E44+F44+G44+H44+I44</f>
        <v>525</v>
      </c>
      <c r="K44" s="658"/>
      <c r="L44" s="634">
        <f>J44*K44</f>
        <v>0</v>
      </c>
      <c r="M44" s="198"/>
    </row>
    <row r="45" spans="1:13" ht="14.25" customHeight="1">
      <c r="A45" s="524"/>
      <c r="B45" s="437"/>
      <c r="C45" s="526"/>
      <c r="D45" s="524"/>
      <c r="E45" s="524"/>
      <c r="F45" s="524"/>
      <c r="G45" s="524"/>
      <c r="H45" s="524"/>
      <c r="I45" s="524"/>
      <c r="J45" s="639"/>
      <c r="K45" s="657"/>
      <c r="L45" s="640"/>
      <c r="M45" s="198"/>
    </row>
    <row r="46" spans="1:13" ht="14.25" customHeight="1">
      <c r="A46" s="525"/>
      <c r="B46" s="438"/>
      <c r="C46" s="527"/>
      <c r="D46" s="525"/>
      <c r="E46" s="525"/>
      <c r="F46" s="525"/>
      <c r="G46" s="525"/>
      <c r="H46" s="525"/>
      <c r="I46" s="525"/>
      <c r="J46" s="635"/>
      <c r="K46" s="656"/>
      <c r="L46" s="636"/>
      <c r="M46" s="198"/>
    </row>
    <row r="47" spans="1:13" ht="14.25" customHeight="1">
      <c r="A47" s="191">
        <v>20</v>
      </c>
      <c r="B47" s="199" t="s">
        <v>327</v>
      </c>
      <c r="C47" s="193" t="s">
        <v>302</v>
      </c>
      <c r="D47" s="194">
        <v>4</v>
      </c>
      <c r="E47" s="194">
        <v>30</v>
      </c>
      <c r="F47" s="194">
        <v>12</v>
      </c>
      <c r="G47" s="194">
        <v>12</v>
      </c>
      <c r="H47" s="194">
        <v>1</v>
      </c>
      <c r="I47" s="194">
        <v>4</v>
      </c>
      <c r="J47" s="637">
        <f t="shared" ref="J47:J52" si="10">D47+E47+F47+G47+H47+I47</f>
        <v>63</v>
      </c>
      <c r="K47" s="659"/>
      <c r="L47" s="638">
        <f t="shared" ref="L47:L52" si="11">J47*K47</f>
        <v>0</v>
      </c>
      <c r="M47" s="198"/>
    </row>
    <row r="48" spans="1:13" ht="14.25" customHeight="1">
      <c r="A48" s="191">
        <v>21</v>
      </c>
      <c r="B48" s="199" t="s">
        <v>328</v>
      </c>
      <c r="C48" s="193" t="s">
        <v>302</v>
      </c>
      <c r="D48" s="194">
        <v>3</v>
      </c>
      <c r="E48" s="194">
        <v>5</v>
      </c>
      <c r="F48" s="194">
        <v>2</v>
      </c>
      <c r="G48" s="194">
        <v>4</v>
      </c>
      <c r="H48" s="194">
        <v>3</v>
      </c>
      <c r="I48" s="194">
        <v>2</v>
      </c>
      <c r="J48" s="637">
        <f t="shared" si="10"/>
        <v>19</v>
      </c>
      <c r="K48" s="659"/>
      <c r="L48" s="638">
        <f t="shared" si="11"/>
        <v>0</v>
      </c>
      <c r="M48" s="198"/>
    </row>
    <row r="49" spans="1:13" ht="14.25" customHeight="1">
      <c r="A49" s="191">
        <v>22</v>
      </c>
      <c r="B49" s="207" t="s">
        <v>329</v>
      </c>
      <c r="C49" s="208" t="s">
        <v>302</v>
      </c>
      <c r="D49" s="194">
        <v>1</v>
      </c>
      <c r="E49" s="194">
        <v>4</v>
      </c>
      <c r="F49" s="194">
        <v>2</v>
      </c>
      <c r="G49" s="194">
        <v>2</v>
      </c>
      <c r="H49" s="194">
        <v>1</v>
      </c>
      <c r="I49" s="194">
        <v>0.25</v>
      </c>
      <c r="J49" s="637">
        <f t="shared" si="10"/>
        <v>10.25</v>
      </c>
      <c r="K49" s="659"/>
      <c r="L49" s="638">
        <f t="shared" si="11"/>
        <v>0</v>
      </c>
      <c r="M49" s="198"/>
    </row>
    <row r="50" spans="1:13" ht="14.25" customHeight="1">
      <c r="A50" s="191">
        <v>23</v>
      </c>
      <c r="B50" s="199" t="s">
        <v>330</v>
      </c>
      <c r="C50" s="193" t="s">
        <v>302</v>
      </c>
      <c r="D50" s="194">
        <v>5</v>
      </c>
      <c r="E50" s="194">
        <v>15</v>
      </c>
      <c r="F50" s="194">
        <v>10</v>
      </c>
      <c r="G50" s="194">
        <v>3</v>
      </c>
      <c r="H50" s="194">
        <v>3</v>
      </c>
      <c r="I50" s="194">
        <v>10</v>
      </c>
      <c r="J50" s="637">
        <f t="shared" si="10"/>
        <v>46</v>
      </c>
      <c r="K50" s="659"/>
      <c r="L50" s="638">
        <f t="shared" si="11"/>
        <v>0</v>
      </c>
      <c r="M50" s="198"/>
    </row>
    <row r="51" spans="1:13" ht="14.25" customHeight="1">
      <c r="A51" s="194">
        <v>24</v>
      </c>
      <c r="B51" s="199" t="s">
        <v>331</v>
      </c>
      <c r="C51" s="193" t="s">
        <v>332</v>
      </c>
      <c r="D51" s="194">
        <v>2</v>
      </c>
      <c r="E51" s="194">
        <v>12</v>
      </c>
      <c r="F51" s="194">
        <v>5</v>
      </c>
      <c r="G51" s="194">
        <v>6</v>
      </c>
      <c r="H51" s="194">
        <v>2</v>
      </c>
      <c r="I51" s="194">
        <v>3</v>
      </c>
      <c r="J51" s="637">
        <f t="shared" si="10"/>
        <v>30</v>
      </c>
      <c r="K51" s="659"/>
      <c r="L51" s="638">
        <f t="shared" si="11"/>
        <v>0</v>
      </c>
      <c r="M51" s="198"/>
    </row>
    <row r="52" spans="1:13" ht="14.25" customHeight="1">
      <c r="A52" s="528">
        <v>25</v>
      </c>
      <c r="B52" s="529" t="s">
        <v>333</v>
      </c>
      <c r="C52" s="530" t="s">
        <v>332</v>
      </c>
      <c r="D52" s="528">
        <v>5</v>
      </c>
      <c r="E52" s="528">
        <v>12</v>
      </c>
      <c r="F52" s="528">
        <v>6</v>
      </c>
      <c r="G52" s="528">
        <v>6</v>
      </c>
      <c r="H52" s="528">
        <v>3</v>
      </c>
      <c r="I52" s="528">
        <v>3</v>
      </c>
      <c r="J52" s="633">
        <f t="shared" si="10"/>
        <v>35</v>
      </c>
      <c r="K52" s="658"/>
      <c r="L52" s="634">
        <f t="shared" si="11"/>
        <v>0</v>
      </c>
      <c r="M52" s="198"/>
    </row>
    <row r="53" spans="1:13" ht="14.25" customHeight="1">
      <c r="A53" s="525"/>
      <c r="B53" s="438"/>
      <c r="C53" s="527"/>
      <c r="D53" s="525"/>
      <c r="E53" s="525"/>
      <c r="F53" s="525"/>
      <c r="G53" s="525"/>
      <c r="H53" s="525"/>
      <c r="I53" s="525"/>
      <c r="J53" s="635"/>
      <c r="K53" s="656"/>
      <c r="L53" s="636"/>
      <c r="M53" s="198"/>
    </row>
    <row r="54" spans="1:13" ht="14.25" customHeight="1">
      <c r="A54" s="194">
        <v>26</v>
      </c>
      <c r="B54" s="199" t="s">
        <v>334</v>
      </c>
      <c r="C54" s="193" t="s">
        <v>332</v>
      </c>
      <c r="D54" s="194">
        <v>5</v>
      </c>
      <c r="E54" s="194">
        <v>12</v>
      </c>
      <c r="F54" s="194">
        <v>6</v>
      </c>
      <c r="G54" s="194">
        <v>6</v>
      </c>
      <c r="H54" s="194">
        <v>4</v>
      </c>
      <c r="I54" s="194">
        <v>3</v>
      </c>
      <c r="J54" s="637">
        <f t="shared" ref="J54:J56" si="12">D54+E54+F54+G54+H54+I54</f>
        <v>36</v>
      </c>
      <c r="K54" s="659"/>
      <c r="L54" s="638">
        <f t="shared" ref="L54:L56" si="13">J54*K54</f>
        <v>0</v>
      </c>
      <c r="M54" s="198"/>
    </row>
    <row r="55" spans="1:13" ht="14.25" customHeight="1">
      <c r="A55" s="194">
        <v>27</v>
      </c>
      <c r="B55" s="199" t="s">
        <v>335</v>
      </c>
      <c r="C55" s="193" t="s">
        <v>332</v>
      </c>
      <c r="D55" s="194">
        <v>5</v>
      </c>
      <c r="E55" s="194">
        <v>12</v>
      </c>
      <c r="F55" s="194">
        <v>6</v>
      </c>
      <c r="G55" s="194">
        <v>6</v>
      </c>
      <c r="H55" s="194">
        <v>4</v>
      </c>
      <c r="I55" s="194">
        <v>3</v>
      </c>
      <c r="J55" s="637">
        <f t="shared" si="12"/>
        <v>36</v>
      </c>
      <c r="K55" s="659"/>
      <c r="L55" s="638">
        <f t="shared" si="13"/>
        <v>0</v>
      </c>
      <c r="M55" s="198"/>
    </row>
    <row r="56" spans="1:13" ht="14.25" customHeight="1">
      <c r="A56" s="528">
        <v>28</v>
      </c>
      <c r="B56" s="531" t="s">
        <v>336</v>
      </c>
      <c r="C56" s="532" t="s">
        <v>302</v>
      </c>
      <c r="D56" s="528">
        <v>3</v>
      </c>
      <c r="E56" s="528">
        <v>1</v>
      </c>
      <c r="F56" s="528">
        <v>2</v>
      </c>
      <c r="G56" s="528">
        <v>6</v>
      </c>
      <c r="H56" s="528">
        <v>1</v>
      </c>
      <c r="I56" s="528">
        <v>1</v>
      </c>
      <c r="J56" s="633">
        <f t="shared" si="12"/>
        <v>14</v>
      </c>
      <c r="K56" s="658"/>
      <c r="L56" s="634">
        <f t="shared" si="13"/>
        <v>0</v>
      </c>
      <c r="M56" s="198"/>
    </row>
    <row r="57" spans="1:13" ht="14.25" customHeight="1">
      <c r="A57" s="525"/>
      <c r="B57" s="438"/>
      <c r="C57" s="527"/>
      <c r="D57" s="525"/>
      <c r="E57" s="525"/>
      <c r="F57" s="525"/>
      <c r="G57" s="525"/>
      <c r="H57" s="525"/>
      <c r="I57" s="525"/>
      <c r="J57" s="635"/>
      <c r="K57" s="656"/>
      <c r="L57" s="636"/>
      <c r="M57" s="198"/>
    </row>
    <row r="58" spans="1:13" ht="14.25" customHeight="1">
      <c r="A58" s="528">
        <v>29</v>
      </c>
      <c r="B58" s="529" t="s">
        <v>337</v>
      </c>
      <c r="C58" s="530" t="s">
        <v>338</v>
      </c>
      <c r="D58" s="528">
        <v>3</v>
      </c>
      <c r="E58" s="528">
        <v>5</v>
      </c>
      <c r="F58" s="528">
        <v>10</v>
      </c>
      <c r="G58" s="528">
        <v>6</v>
      </c>
      <c r="H58" s="528">
        <v>1</v>
      </c>
      <c r="I58" s="528">
        <v>1</v>
      </c>
      <c r="J58" s="633">
        <f>D58+E58+F58+G58+H58+I58</f>
        <v>26</v>
      </c>
      <c r="K58" s="658"/>
      <c r="L58" s="634">
        <f>J58*K58</f>
        <v>0</v>
      </c>
      <c r="M58" s="198"/>
    </row>
    <row r="59" spans="1:13" ht="14.25" customHeight="1">
      <c r="A59" s="525"/>
      <c r="B59" s="438"/>
      <c r="C59" s="527"/>
      <c r="D59" s="525"/>
      <c r="E59" s="525"/>
      <c r="F59" s="525"/>
      <c r="G59" s="525"/>
      <c r="H59" s="525"/>
      <c r="I59" s="525"/>
      <c r="J59" s="635"/>
      <c r="K59" s="656"/>
      <c r="L59" s="636"/>
      <c r="M59" s="198"/>
    </row>
    <row r="60" spans="1:13" ht="14.25" customHeight="1">
      <c r="A60" s="536">
        <v>30</v>
      </c>
      <c r="B60" s="209" t="s">
        <v>339</v>
      </c>
      <c r="C60" s="533" t="s">
        <v>340</v>
      </c>
      <c r="D60" s="528">
        <v>2</v>
      </c>
      <c r="E60" s="528">
        <v>5</v>
      </c>
      <c r="F60" s="528">
        <v>3</v>
      </c>
      <c r="G60" s="528">
        <v>3</v>
      </c>
      <c r="H60" s="528">
        <v>1</v>
      </c>
      <c r="I60" s="528">
        <v>1</v>
      </c>
      <c r="J60" s="633">
        <f>D60+E60+F60+G60+H60+I60</f>
        <v>15</v>
      </c>
      <c r="K60" s="658"/>
      <c r="L60" s="634">
        <f>J60*K60</f>
        <v>0</v>
      </c>
      <c r="M60" s="198"/>
    </row>
    <row r="61" spans="1:13" ht="14.25" customHeight="1">
      <c r="A61" s="522"/>
      <c r="B61" s="210" t="s">
        <v>341</v>
      </c>
      <c r="C61" s="534"/>
      <c r="D61" s="524"/>
      <c r="E61" s="524"/>
      <c r="F61" s="524"/>
      <c r="G61" s="524"/>
      <c r="H61" s="524"/>
      <c r="I61" s="524"/>
      <c r="J61" s="639"/>
      <c r="K61" s="657"/>
      <c r="L61" s="640"/>
      <c r="M61" s="198"/>
    </row>
    <row r="62" spans="1:13" ht="14.25" customHeight="1">
      <c r="A62" s="523"/>
      <c r="B62" s="211" t="s">
        <v>342</v>
      </c>
      <c r="C62" s="535"/>
      <c r="D62" s="525"/>
      <c r="E62" s="525"/>
      <c r="F62" s="525"/>
      <c r="G62" s="525"/>
      <c r="H62" s="525"/>
      <c r="I62" s="525"/>
      <c r="J62" s="635"/>
      <c r="K62" s="656"/>
      <c r="L62" s="636"/>
      <c r="M62" s="198"/>
    </row>
    <row r="63" spans="1:13" ht="16.5" customHeight="1">
      <c r="A63" s="528">
        <v>31</v>
      </c>
      <c r="B63" s="537" t="s">
        <v>343</v>
      </c>
      <c r="C63" s="530" t="s">
        <v>302</v>
      </c>
      <c r="D63" s="528">
        <v>1</v>
      </c>
      <c r="E63" s="528">
        <v>3</v>
      </c>
      <c r="F63" s="528">
        <v>2</v>
      </c>
      <c r="G63" s="528">
        <v>1</v>
      </c>
      <c r="H63" s="528">
        <v>1</v>
      </c>
      <c r="I63" s="528">
        <v>2</v>
      </c>
      <c r="J63" s="633">
        <f>D63+E63+F63+G63+H63+I63</f>
        <v>10</v>
      </c>
      <c r="K63" s="658"/>
      <c r="L63" s="634">
        <f>J63*K63</f>
        <v>0</v>
      </c>
      <c r="M63" s="198"/>
    </row>
    <row r="64" spans="1:13" ht="14.25" customHeight="1">
      <c r="A64" s="525"/>
      <c r="B64" s="438"/>
      <c r="C64" s="527"/>
      <c r="D64" s="525"/>
      <c r="E64" s="525"/>
      <c r="F64" s="525"/>
      <c r="G64" s="525"/>
      <c r="H64" s="525"/>
      <c r="I64" s="525"/>
      <c r="J64" s="635"/>
      <c r="K64" s="656"/>
      <c r="L64" s="636"/>
      <c r="M64" s="198"/>
    </row>
    <row r="65" spans="1:13" ht="14.25" customHeight="1">
      <c r="A65" s="212">
        <v>32</v>
      </c>
      <c r="B65" s="213" t="s">
        <v>344</v>
      </c>
      <c r="C65" s="214" t="s">
        <v>265</v>
      </c>
      <c r="D65" s="212">
        <v>4</v>
      </c>
      <c r="E65" s="212">
        <v>10</v>
      </c>
      <c r="F65" s="212">
        <v>2</v>
      </c>
      <c r="G65" s="212">
        <v>3</v>
      </c>
      <c r="H65" s="212">
        <v>1</v>
      </c>
      <c r="I65" s="215"/>
      <c r="J65" s="641">
        <f t="shared" ref="J65:J79" si="14">D65+E65+F65+G65+H65+I65</f>
        <v>20</v>
      </c>
      <c r="K65" s="660"/>
      <c r="L65" s="642">
        <f t="shared" ref="L65:L79" si="15">J65*K65</f>
        <v>0</v>
      </c>
      <c r="M65" s="198"/>
    </row>
    <row r="66" spans="1:13" ht="14.25" customHeight="1">
      <c r="A66" s="212">
        <v>33</v>
      </c>
      <c r="B66" s="216" t="s">
        <v>345</v>
      </c>
      <c r="C66" s="217" t="s">
        <v>265</v>
      </c>
      <c r="D66" s="212">
        <v>2</v>
      </c>
      <c r="E66" s="212">
        <v>10</v>
      </c>
      <c r="F66" s="212">
        <v>2</v>
      </c>
      <c r="G66" s="212">
        <v>2</v>
      </c>
      <c r="H66" s="212">
        <v>1</v>
      </c>
      <c r="I66" s="215"/>
      <c r="J66" s="641">
        <f t="shared" si="14"/>
        <v>17</v>
      </c>
      <c r="K66" s="660"/>
      <c r="L66" s="642">
        <f t="shared" si="15"/>
        <v>0</v>
      </c>
      <c r="M66" s="198"/>
    </row>
    <row r="67" spans="1:13" ht="14.25" customHeight="1">
      <c r="A67" s="212">
        <v>34</v>
      </c>
      <c r="B67" s="218" t="s">
        <v>346</v>
      </c>
      <c r="C67" s="217" t="s">
        <v>265</v>
      </c>
      <c r="D67" s="212">
        <v>1</v>
      </c>
      <c r="E67" s="212">
        <v>1</v>
      </c>
      <c r="F67" s="212">
        <v>1</v>
      </c>
      <c r="G67" s="212">
        <v>1</v>
      </c>
      <c r="H67" s="212">
        <v>2</v>
      </c>
      <c r="I67" s="212">
        <v>1</v>
      </c>
      <c r="J67" s="641">
        <f t="shared" si="14"/>
        <v>7</v>
      </c>
      <c r="K67" s="660"/>
      <c r="L67" s="642">
        <f t="shared" si="15"/>
        <v>0</v>
      </c>
      <c r="M67" s="198"/>
    </row>
    <row r="68" spans="1:13" ht="14.25" customHeight="1">
      <c r="A68" s="212">
        <v>35</v>
      </c>
      <c r="B68" s="213" t="s">
        <v>347</v>
      </c>
      <c r="C68" s="214" t="s">
        <v>265</v>
      </c>
      <c r="D68" s="212">
        <v>2</v>
      </c>
      <c r="E68" s="212">
        <v>1</v>
      </c>
      <c r="F68" s="212">
        <v>3</v>
      </c>
      <c r="G68" s="212">
        <v>4</v>
      </c>
      <c r="H68" s="215"/>
      <c r="I68" s="215"/>
      <c r="J68" s="641">
        <f t="shared" si="14"/>
        <v>10</v>
      </c>
      <c r="K68" s="660"/>
      <c r="L68" s="642">
        <f t="shared" si="15"/>
        <v>0</v>
      </c>
      <c r="M68" s="198"/>
    </row>
    <row r="69" spans="1:13" ht="14.25" customHeight="1">
      <c r="A69" s="212">
        <v>36</v>
      </c>
      <c r="B69" s="219" t="s">
        <v>348</v>
      </c>
      <c r="C69" s="217" t="s">
        <v>265</v>
      </c>
      <c r="D69" s="212">
        <v>20</v>
      </c>
      <c r="E69" s="212">
        <v>15</v>
      </c>
      <c r="F69" s="212">
        <v>12</v>
      </c>
      <c r="G69" s="212">
        <v>12</v>
      </c>
      <c r="H69" s="212">
        <v>15</v>
      </c>
      <c r="I69" s="212">
        <v>15</v>
      </c>
      <c r="J69" s="641">
        <f t="shared" si="14"/>
        <v>89</v>
      </c>
      <c r="K69" s="660"/>
      <c r="L69" s="642">
        <f t="shared" si="15"/>
        <v>0</v>
      </c>
      <c r="M69" s="198"/>
    </row>
    <row r="70" spans="1:13" ht="14.25" customHeight="1">
      <c r="A70" s="212">
        <v>37</v>
      </c>
      <c r="B70" s="219" t="s">
        <v>349</v>
      </c>
      <c r="C70" s="217" t="s">
        <v>265</v>
      </c>
      <c r="D70" s="212">
        <v>2</v>
      </c>
      <c r="E70" s="212">
        <v>2</v>
      </c>
      <c r="F70" s="212">
        <v>3</v>
      </c>
      <c r="G70" s="212">
        <v>2</v>
      </c>
      <c r="H70" s="212">
        <v>1</v>
      </c>
      <c r="I70" s="212">
        <v>5</v>
      </c>
      <c r="J70" s="641">
        <f t="shared" si="14"/>
        <v>15</v>
      </c>
      <c r="K70" s="660"/>
      <c r="L70" s="642">
        <f t="shared" si="15"/>
        <v>0</v>
      </c>
      <c r="M70" s="198"/>
    </row>
    <row r="71" spans="1:13" ht="14.25" customHeight="1">
      <c r="A71" s="212">
        <v>38</v>
      </c>
      <c r="B71" s="219" t="s">
        <v>350</v>
      </c>
      <c r="C71" s="217" t="s">
        <v>265</v>
      </c>
      <c r="D71" s="212">
        <v>1</v>
      </c>
      <c r="E71" s="212">
        <v>5</v>
      </c>
      <c r="F71" s="212">
        <v>1</v>
      </c>
      <c r="G71" s="212">
        <v>2</v>
      </c>
      <c r="H71" s="212">
        <v>1</v>
      </c>
      <c r="I71" s="215"/>
      <c r="J71" s="641">
        <f t="shared" si="14"/>
        <v>10</v>
      </c>
      <c r="K71" s="660"/>
      <c r="L71" s="642">
        <f t="shared" si="15"/>
        <v>0</v>
      </c>
      <c r="M71" s="198"/>
    </row>
    <row r="72" spans="1:13" ht="14.25" customHeight="1">
      <c r="A72" s="212">
        <v>39</v>
      </c>
      <c r="B72" s="220" t="s">
        <v>351</v>
      </c>
      <c r="C72" s="214" t="s">
        <v>265</v>
      </c>
      <c r="D72" s="212">
        <v>6</v>
      </c>
      <c r="E72" s="212">
        <v>10</v>
      </c>
      <c r="F72" s="212">
        <v>6</v>
      </c>
      <c r="G72" s="212">
        <v>5</v>
      </c>
      <c r="H72" s="212">
        <v>10</v>
      </c>
      <c r="I72" s="212">
        <v>10</v>
      </c>
      <c r="J72" s="641">
        <f t="shared" si="14"/>
        <v>47</v>
      </c>
      <c r="K72" s="660"/>
      <c r="L72" s="642">
        <f t="shared" si="15"/>
        <v>0</v>
      </c>
      <c r="M72" s="198"/>
    </row>
    <row r="73" spans="1:13" ht="14.25" customHeight="1">
      <c r="A73" s="212">
        <v>40</v>
      </c>
      <c r="B73" s="219" t="s">
        <v>352</v>
      </c>
      <c r="C73" s="217" t="s">
        <v>353</v>
      </c>
      <c r="D73" s="212">
        <v>2</v>
      </c>
      <c r="E73" s="212">
        <v>6</v>
      </c>
      <c r="F73" s="212">
        <v>3</v>
      </c>
      <c r="G73" s="212">
        <v>1</v>
      </c>
      <c r="H73" s="212">
        <v>1</v>
      </c>
      <c r="I73" s="212">
        <v>1</v>
      </c>
      <c r="J73" s="641">
        <f t="shared" si="14"/>
        <v>14</v>
      </c>
      <c r="K73" s="660"/>
      <c r="L73" s="642">
        <f t="shared" si="15"/>
        <v>0</v>
      </c>
      <c r="M73" s="198"/>
    </row>
    <row r="74" spans="1:13" ht="14.25" customHeight="1">
      <c r="A74" s="212">
        <v>41</v>
      </c>
      <c r="B74" s="221" t="s">
        <v>354</v>
      </c>
      <c r="C74" s="214" t="s">
        <v>340</v>
      </c>
      <c r="D74" s="212">
        <v>1</v>
      </c>
      <c r="E74" s="212">
        <v>15</v>
      </c>
      <c r="F74" s="212">
        <v>1</v>
      </c>
      <c r="G74" s="212">
        <v>1</v>
      </c>
      <c r="H74" s="212">
        <v>1</v>
      </c>
      <c r="I74" s="212">
        <v>1</v>
      </c>
      <c r="J74" s="641">
        <f t="shared" si="14"/>
        <v>20</v>
      </c>
      <c r="K74" s="660"/>
      <c r="L74" s="642">
        <f t="shared" si="15"/>
        <v>0</v>
      </c>
      <c r="M74" s="198"/>
    </row>
    <row r="75" spans="1:13" ht="14.25" customHeight="1">
      <c r="A75" s="212">
        <v>42</v>
      </c>
      <c r="B75" s="207" t="s">
        <v>355</v>
      </c>
      <c r="C75" s="217" t="s">
        <v>356</v>
      </c>
      <c r="D75" s="212">
        <v>13</v>
      </c>
      <c r="E75" s="212">
        <v>15</v>
      </c>
      <c r="F75" s="212">
        <v>11</v>
      </c>
      <c r="G75" s="212">
        <v>20</v>
      </c>
      <c r="H75" s="212">
        <v>5</v>
      </c>
      <c r="I75" s="212">
        <v>7</v>
      </c>
      <c r="J75" s="641">
        <f t="shared" si="14"/>
        <v>71</v>
      </c>
      <c r="K75" s="660"/>
      <c r="L75" s="642">
        <f t="shared" si="15"/>
        <v>0</v>
      </c>
      <c r="M75" s="198"/>
    </row>
    <row r="76" spans="1:13" ht="14.25" customHeight="1">
      <c r="A76" s="212">
        <v>43</v>
      </c>
      <c r="B76" s="213" t="s">
        <v>357</v>
      </c>
      <c r="C76" s="214" t="s">
        <v>265</v>
      </c>
      <c r="D76" s="215"/>
      <c r="E76" s="212">
        <v>12</v>
      </c>
      <c r="F76" s="212">
        <v>10</v>
      </c>
      <c r="G76" s="212">
        <v>10</v>
      </c>
      <c r="H76" s="212">
        <v>3</v>
      </c>
      <c r="I76" s="212">
        <v>8</v>
      </c>
      <c r="J76" s="641">
        <f t="shared" si="14"/>
        <v>43</v>
      </c>
      <c r="K76" s="660"/>
      <c r="L76" s="642">
        <f t="shared" si="15"/>
        <v>0</v>
      </c>
      <c r="M76" s="198"/>
    </row>
    <row r="77" spans="1:13" ht="14.25" customHeight="1">
      <c r="A77" s="212">
        <v>44</v>
      </c>
      <c r="B77" s="202" t="s">
        <v>358</v>
      </c>
      <c r="C77" s="214" t="s">
        <v>265</v>
      </c>
      <c r="D77" s="215"/>
      <c r="E77" s="215"/>
      <c r="F77" s="215"/>
      <c r="G77" s="212">
        <v>6</v>
      </c>
      <c r="H77" s="215"/>
      <c r="I77" s="215"/>
      <c r="J77" s="641">
        <f t="shared" si="14"/>
        <v>6</v>
      </c>
      <c r="K77" s="660"/>
      <c r="L77" s="642">
        <f t="shared" si="15"/>
        <v>0</v>
      </c>
      <c r="M77" s="198"/>
    </row>
    <row r="78" spans="1:13" ht="14.25" customHeight="1">
      <c r="A78" s="212">
        <v>45</v>
      </c>
      <c r="B78" s="216" t="s">
        <v>359</v>
      </c>
      <c r="C78" s="217" t="s">
        <v>356</v>
      </c>
      <c r="D78" s="212"/>
      <c r="E78" s="212">
        <v>6</v>
      </c>
      <c r="F78" s="215"/>
      <c r="G78" s="212">
        <v>6</v>
      </c>
      <c r="H78" s="212">
        <v>1</v>
      </c>
      <c r="I78" s="215"/>
      <c r="J78" s="641">
        <f t="shared" si="14"/>
        <v>13</v>
      </c>
      <c r="K78" s="660"/>
      <c r="L78" s="642">
        <f t="shared" si="15"/>
        <v>0</v>
      </c>
      <c r="M78" s="198"/>
    </row>
    <row r="79" spans="1:13" ht="14.25" customHeight="1">
      <c r="A79" s="212">
        <v>46</v>
      </c>
      <c r="B79" s="216" t="s">
        <v>360</v>
      </c>
      <c r="C79" s="217" t="s">
        <v>356</v>
      </c>
      <c r="D79" s="222">
        <v>3</v>
      </c>
      <c r="E79" s="222">
        <v>5</v>
      </c>
      <c r="F79" s="222">
        <v>1</v>
      </c>
      <c r="G79" s="222">
        <v>6</v>
      </c>
      <c r="H79" s="222">
        <v>1</v>
      </c>
      <c r="I79" s="223"/>
      <c r="J79" s="641">
        <f t="shared" si="14"/>
        <v>16</v>
      </c>
      <c r="K79" s="661"/>
      <c r="L79" s="642">
        <f t="shared" si="15"/>
        <v>0</v>
      </c>
      <c r="M79" s="198"/>
    </row>
    <row r="80" spans="1:13" ht="14.25" customHeight="1">
      <c r="A80" s="643" t="s">
        <v>15</v>
      </c>
      <c r="B80" s="644"/>
      <c r="C80" s="645"/>
      <c r="D80" s="646"/>
      <c r="E80" s="647"/>
      <c r="F80" s="647"/>
      <c r="G80" s="647"/>
      <c r="H80" s="647"/>
      <c r="I80" s="647"/>
      <c r="J80" s="647"/>
      <c r="K80" s="648"/>
      <c r="L80" s="649">
        <f>SUM(L8:L79)</f>
        <v>0</v>
      </c>
      <c r="M80" s="190"/>
    </row>
    <row r="81" spans="1:13" ht="14.25" customHeight="1">
      <c r="A81" s="650" t="s">
        <v>361</v>
      </c>
      <c r="B81" s="644"/>
      <c r="C81" s="651">
        <f>'Resumo dos valores'!G27</f>
        <v>48</v>
      </c>
      <c r="D81" s="652"/>
      <c r="E81" s="653"/>
      <c r="F81" s="653"/>
      <c r="G81" s="653"/>
      <c r="H81" s="653"/>
      <c r="I81" s="653"/>
      <c r="J81" s="653"/>
      <c r="K81" s="654"/>
      <c r="L81" s="655">
        <f>L80/C81</f>
        <v>0</v>
      </c>
      <c r="M81" s="190"/>
    </row>
    <row r="82" spans="1:13" ht="14.25" customHeight="1">
      <c r="A82" s="190"/>
      <c r="B82" s="190"/>
      <c r="C82" s="190"/>
      <c r="D82" s="190"/>
      <c r="E82" s="190"/>
      <c r="F82" s="190"/>
      <c r="G82" s="190"/>
      <c r="H82" s="190"/>
      <c r="I82" s="190"/>
      <c r="J82" s="190"/>
      <c r="K82" s="190"/>
      <c r="L82" s="190"/>
      <c r="M82" s="190"/>
    </row>
  </sheetData>
  <mergeCells count="192">
    <mergeCell ref="H56:H57"/>
    <mergeCell ref="I56:I57"/>
    <mergeCell ref="J56:J57"/>
    <mergeCell ref="K56:K57"/>
    <mergeCell ref="L56:L57"/>
    <mergeCell ref="A56:A57"/>
    <mergeCell ref="B56:B57"/>
    <mergeCell ref="C56:C57"/>
    <mergeCell ref="D56:D57"/>
    <mergeCell ref="E56:E57"/>
    <mergeCell ref="F56:F57"/>
    <mergeCell ref="G56:G57"/>
    <mergeCell ref="H52:H53"/>
    <mergeCell ref="I52:I53"/>
    <mergeCell ref="J52:J53"/>
    <mergeCell ref="K52:K53"/>
    <mergeCell ref="L52:L53"/>
    <mergeCell ref="A52:A53"/>
    <mergeCell ref="B52:B53"/>
    <mergeCell ref="C52:C53"/>
    <mergeCell ref="D52:D53"/>
    <mergeCell ref="E52:E53"/>
    <mergeCell ref="F52:F53"/>
    <mergeCell ref="G52:G53"/>
    <mergeCell ref="K29:K30"/>
    <mergeCell ref="L29:L30"/>
    <mergeCell ref="A29:A30"/>
    <mergeCell ref="B29:B30"/>
    <mergeCell ref="C29:C30"/>
    <mergeCell ref="D29:D30"/>
    <mergeCell ref="E29:E30"/>
    <mergeCell ref="F29:F30"/>
    <mergeCell ref="G29:G30"/>
    <mergeCell ref="A22:A23"/>
    <mergeCell ref="B22:B23"/>
    <mergeCell ref="C22:C23"/>
    <mergeCell ref="D22:D23"/>
    <mergeCell ref="E22:E23"/>
    <mergeCell ref="F22:F23"/>
    <mergeCell ref="G22:G23"/>
    <mergeCell ref="H24:H25"/>
    <mergeCell ref="I24:I25"/>
    <mergeCell ref="A24:A25"/>
    <mergeCell ref="B24:B25"/>
    <mergeCell ref="C24:C25"/>
    <mergeCell ref="D24:D25"/>
    <mergeCell ref="E24:E25"/>
    <mergeCell ref="F24:F25"/>
    <mergeCell ref="G24:G25"/>
    <mergeCell ref="A16:A18"/>
    <mergeCell ref="B16:B18"/>
    <mergeCell ref="C16:C18"/>
    <mergeCell ref="D16:D18"/>
    <mergeCell ref="E16:E18"/>
    <mergeCell ref="F16:F18"/>
    <mergeCell ref="G16:G18"/>
    <mergeCell ref="H20:H21"/>
    <mergeCell ref="I20:I21"/>
    <mergeCell ref="A20:A21"/>
    <mergeCell ref="B20:B21"/>
    <mergeCell ref="C20:C21"/>
    <mergeCell ref="D20:D21"/>
    <mergeCell ref="E20:E21"/>
    <mergeCell ref="F20:F21"/>
    <mergeCell ref="G20:G21"/>
    <mergeCell ref="H58:H59"/>
    <mergeCell ref="I58:I59"/>
    <mergeCell ref="J58:J59"/>
    <mergeCell ref="K58:K59"/>
    <mergeCell ref="L58:L59"/>
    <mergeCell ref="H16:H18"/>
    <mergeCell ref="I16:I18"/>
    <mergeCell ref="J16:J18"/>
    <mergeCell ref="K16:K18"/>
    <mergeCell ref="L16:L18"/>
    <mergeCell ref="J20:J21"/>
    <mergeCell ref="K20:K21"/>
    <mergeCell ref="L20:L21"/>
    <mergeCell ref="H22:H23"/>
    <mergeCell ref="I22:I23"/>
    <mergeCell ref="J22:J23"/>
    <mergeCell ref="K22:K23"/>
    <mergeCell ref="L22:L23"/>
    <mergeCell ref="J24:J25"/>
    <mergeCell ref="K24:K25"/>
    <mergeCell ref="L24:L25"/>
    <mergeCell ref="H29:H30"/>
    <mergeCell ref="I29:I30"/>
    <mergeCell ref="J29:J30"/>
    <mergeCell ref="H44:H46"/>
    <mergeCell ref="I44:I46"/>
    <mergeCell ref="J44:J46"/>
    <mergeCell ref="K44:K46"/>
    <mergeCell ref="L44:L46"/>
    <mergeCell ref="A44:A46"/>
    <mergeCell ref="B44:B46"/>
    <mergeCell ref="C44:C46"/>
    <mergeCell ref="D44:D46"/>
    <mergeCell ref="E44:E46"/>
    <mergeCell ref="F44:F46"/>
    <mergeCell ref="G44:G46"/>
    <mergeCell ref="K36:K43"/>
    <mergeCell ref="L36:L43"/>
    <mergeCell ref="A32:A35"/>
    <mergeCell ref="B32:B35"/>
    <mergeCell ref="D32:D35"/>
    <mergeCell ref="E32:E35"/>
    <mergeCell ref="F32:F35"/>
    <mergeCell ref="G32:G35"/>
    <mergeCell ref="A36:A43"/>
    <mergeCell ref="C32:C35"/>
    <mergeCell ref="C36:C43"/>
    <mergeCell ref="D36:D43"/>
    <mergeCell ref="E36:E43"/>
    <mergeCell ref="F36:F43"/>
    <mergeCell ref="G36:G43"/>
    <mergeCell ref="H36:H43"/>
    <mergeCell ref="I36:I43"/>
    <mergeCell ref="J36:J43"/>
    <mergeCell ref="A60:A62"/>
    <mergeCell ref="H63:H64"/>
    <mergeCell ref="I63:I64"/>
    <mergeCell ref="J63:J64"/>
    <mergeCell ref="K63:K64"/>
    <mergeCell ref="L63:L64"/>
    <mergeCell ref="A63:A64"/>
    <mergeCell ref="B63:B64"/>
    <mergeCell ref="C63:C64"/>
    <mergeCell ref="D63:D64"/>
    <mergeCell ref="E63:E64"/>
    <mergeCell ref="F63:F64"/>
    <mergeCell ref="G63:G64"/>
    <mergeCell ref="H32:H35"/>
    <mergeCell ref="I32:I35"/>
    <mergeCell ref="J32:J35"/>
    <mergeCell ref="K32:K35"/>
    <mergeCell ref="L32:L35"/>
    <mergeCell ref="C58:C59"/>
    <mergeCell ref="C60:C62"/>
    <mergeCell ref="A80:C80"/>
    <mergeCell ref="A81:B81"/>
    <mergeCell ref="D60:D62"/>
    <mergeCell ref="E60:E62"/>
    <mergeCell ref="F60:F62"/>
    <mergeCell ref="G60:G62"/>
    <mergeCell ref="H60:H62"/>
    <mergeCell ref="I60:I62"/>
    <mergeCell ref="J60:J62"/>
    <mergeCell ref="K60:K62"/>
    <mergeCell ref="L60:L62"/>
    <mergeCell ref="A58:A59"/>
    <mergeCell ref="B58:B59"/>
    <mergeCell ref="D58:D59"/>
    <mergeCell ref="E58:E59"/>
    <mergeCell ref="F58:F59"/>
    <mergeCell ref="G58:G59"/>
    <mergeCell ref="H12:H13"/>
    <mergeCell ref="I12:I13"/>
    <mergeCell ref="J12:J13"/>
    <mergeCell ref="K12:K13"/>
    <mergeCell ref="L12:L13"/>
    <mergeCell ref="A12:A13"/>
    <mergeCell ref="B12:B13"/>
    <mergeCell ref="C12:C13"/>
    <mergeCell ref="D12:D13"/>
    <mergeCell ref="E12:E13"/>
    <mergeCell ref="F12:F13"/>
    <mergeCell ref="G12:G13"/>
    <mergeCell ref="H8:H9"/>
    <mergeCell ref="I8:I9"/>
    <mergeCell ref="J8:J9"/>
    <mergeCell ref="K8:K9"/>
    <mergeCell ref="L8:L9"/>
    <mergeCell ref="A8:A9"/>
    <mergeCell ref="B8:B9"/>
    <mergeCell ref="C8:C9"/>
    <mergeCell ref="D8:D9"/>
    <mergeCell ref="E8:E9"/>
    <mergeCell ref="F8:F9"/>
    <mergeCell ref="G8:G9"/>
    <mergeCell ref="H1:H3"/>
    <mergeCell ref="I1:I3"/>
    <mergeCell ref="J1:J6"/>
    <mergeCell ref="K1:K5"/>
    <mergeCell ref="L1:L6"/>
    <mergeCell ref="A1:A5"/>
    <mergeCell ref="B1:B5"/>
    <mergeCell ref="C1:C6"/>
    <mergeCell ref="D1:D3"/>
    <mergeCell ref="E1:E3"/>
    <mergeCell ref="F1:F3"/>
    <mergeCell ref="G1:G3"/>
  </mergeCells>
  <dataValidations count="2">
    <dataValidation type="decimal" allowBlank="1" showDropDown="1" showInputMessage="1" showErrorMessage="1" prompt="Insira um número" sqref="D8:I8 D10:I12 D14:I16 D19:I20 D22:I22 D24:I24 D26:I29 D31:I32 D36:I36 D44:I44 D47:I48 D49:H49 D50:I52 D54:I56 D58:I58 D60:I60 D63:I63 D65:I79" xr:uid="{00000000-0002-0000-0700-000000000000}">
      <formula1>1</formula1>
      <formula2>10000</formula2>
    </dataValidation>
    <dataValidation type="decimal" allowBlank="1" showDropDown="1" showInputMessage="1" showErrorMessage="1" prompt="Insira um número" sqref="I49" xr:uid="{00000000-0002-0000-0700-000001000000}">
      <formula1>0</formula1>
      <formula2>10000</formula2>
    </dataValidation>
  </dataValidations>
  <pageMargins left="0.39370114531138162" right="0" top="0.39370078740157477" bottom="0.39370078740157477" header="0" footer="0"/>
  <pageSetup paperSize="9" scale="68" pageOrder="overThenDown" orientation="landscape"/>
  <headerFooter>
    <oddHeader>&amp;CANEXO I - H - LISTA DE MATERIAL DE CONSUMO MENSAL (44h Segunda à Sexta)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49"/>
  <sheetViews>
    <sheetView showGridLines="0" workbookViewId="0">
      <pane xSplit="3" ySplit="3" topLeftCell="D33" activePane="bottomRight" state="frozen"/>
      <selection pane="topRight" activeCell="D1" sqref="D1"/>
      <selection pane="bottomLeft" activeCell="A4" sqref="A4"/>
      <selection pane="bottomRight" activeCell="L10" sqref="L10"/>
    </sheetView>
  </sheetViews>
  <sheetFormatPr defaultColWidth="14.42578125" defaultRowHeight="15" customHeight="1"/>
  <cols>
    <col min="1" max="1" width="8.7109375" customWidth="1"/>
    <col min="2" max="2" width="45" customWidth="1"/>
    <col min="3" max="3" width="8.7109375" customWidth="1"/>
    <col min="4" max="5" width="15.28515625" customWidth="1"/>
    <col min="6" max="6" width="15" customWidth="1"/>
    <col min="7" max="7" width="15.5703125" customWidth="1"/>
    <col min="8" max="8" width="15.140625" customWidth="1"/>
    <col min="9" max="9" width="17" customWidth="1"/>
    <col min="10" max="10" width="16.5703125" customWidth="1"/>
    <col min="11" max="11" width="16" customWidth="1"/>
    <col min="12" max="13" width="18.42578125" customWidth="1"/>
    <col min="14" max="14" width="16" customWidth="1"/>
    <col min="15" max="15" width="15.42578125" customWidth="1"/>
    <col min="16" max="16" width="3.5703125" customWidth="1"/>
  </cols>
  <sheetData>
    <row r="1" spans="1:16" ht="51">
      <c r="A1" s="711" t="s">
        <v>285</v>
      </c>
      <c r="B1" s="711" t="s">
        <v>286</v>
      </c>
      <c r="C1" s="711" t="s">
        <v>362</v>
      </c>
      <c r="D1" s="712" t="s">
        <v>363</v>
      </c>
      <c r="E1" s="713"/>
      <c r="F1" s="713"/>
      <c r="G1" s="713"/>
      <c r="H1" s="713"/>
      <c r="I1" s="713"/>
      <c r="J1" s="711" t="s">
        <v>364</v>
      </c>
      <c r="K1" s="714" t="s">
        <v>365</v>
      </c>
      <c r="L1" s="714" t="s">
        <v>366</v>
      </c>
      <c r="M1" s="715" t="s">
        <v>367</v>
      </c>
      <c r="N1" s="714" t="s">
        <v>368</v>
      </c>
      <c r="O1" s="713"/>
      <c r="P1" s="664"/>
    </row>
    <row r="2" spans="1:16" ht="51">
      <c r="A2" s="713"/>
      <c r="B2" s="713"/>
      <c r="C2" s="713"/>
      <c r="D2" s="716" t="s">
        <v>50</v>
      </c>
      <c r="E2" s="716" t="s">
        <v>52</v>
      </c>
      <c r="F2" s="716" t="s">
        <v>54</v>
      </c>
      <c r="G2" s="716" t="s">
        <v>55</v>
      </c>
      <c r="H2" s="716" t="s">
        <v>56</v>
      </c>
      <c r="I2" s="716" t="s">
        <v>57</v>
      </c>
      <c r="J2" s="713"/>
      <c r="K2" s="713"/>
      <c r="L2" s="713"/>
      <c r="M2" s="717" t="s">
        <v>369</v>
      </c>
      <c r="N2" s="717" t="s">
        <v>370</v>
      </c>
      <c r="O2" s="717" t="s">
        <v>371</v>
      </c>
      <c r="P2" s="664"/>
    </row>
    <row r="3" spans="1:16" ht="1.5" customHeight="1">
      <c r="A3" s="703"/>
      <c r="B3" s="704"/>
      <c r="C3" s="705"/>
      <c r="D3" s="706"/>
      <c r="E3" s="706"/>
      <c r="F3" s="706"/>
      <c r="G3" s="706"/>
      <c r="H3" s="706"/>
      <c r="I3" s="706"/>
      <c r="J3" s="707"/>
      <c r="K3" s="708"/>
      <c r="L3" s="709"/>
      <c r="M3" s="709"/>
      <c r="N3" s="709"/>
      <c r="O3" s="710"/>
      <c r="P3" s="224"/>
    </row>
    <row r="4" spans="1:16" ht="71.25" customHeight="1">
      <c r="A4" s="544">
        <v>1</v>
      </c>
      <c r="B4" s="529" t="s">
        <v>372</v>
      </c>
      <c r="C4" s="530" t="s">
        <v>302</v>
      </c>
      <c r="D4" s="551">
        <v>1</v>
      </c>
      <c r="E4" s="550">
        <v>5</v>
      </c>
      <c r="F4" s="551">
        <v>2</v>
      </c>
      <c r="G4" s="550">
        <v>2</v>
      </c>
      <c r="H4" s="551">
        <v>2</v>
      </c>
      <c r="I4" s="550">
        <v>2</v>
      </c>
      <c r="J4" s="667">
        <f>SUM(D4:I4)</f>
        <v>14</v>
      </c>
      <c r="K4" s="701"/>
      <c r="L4" s="668">
        <f t="shared" ref="L4:L27" si="0">J4*K4</f>
        <v>0</v>
      </c>
      <c r="M4" s="669">
        <v>60</v>
      </c>
      <c r="N4" s="668">
        <f t="shared" ref="N4:N27" si="1">(L4/M4)</f>
        <v>0</v>
      </c>
      <c r="O4" s="670">
        <f t="shared" ref="O4:O27" si="2">N4*12</f>
        <v>0</v>
      </c>
      <c r="P4" s="224"/>
    </row>
    <row r="5" spans="1:16" ht="12.75" hidden="1" customHeight="1">
      <c r="A5" s="444"/>
      <c r="B5" s="437"/>
      <c r="C5" s="526"/>
      <c r="D5" s="541"/>
      <c r="E5" s="541"/>
      <c r="F5" s="541"/>
      <c r="G5" s="541"/>
      <c r="H5" s="541"/>
      <c r="I5" s="541"/>
      <c r="J5" s="671"/>
      <c r="K5" s="657"/>
      <c r="L5" s="672">
        <f t="shared" si="0"/>
        <v>0</v>
      </c>
      <c r="M5" s="669">
        <v>60</v>
      </c>
      <c r="N5" s="668">
        <f t="shared" si="1"/>
        <v>0</v>
      </c>
      <c r="O5" s="670">
        <f t="shared" si="2"/>
        <v>0</v>
      </c>
      <c r="P5" s="224"/>
    </row>
    <row r="6" spans="1:16" ht="12.75" hidden="1" customHeight="1">
      <c r="A6" s="444"/>
      <c r="B6" s="437"/>
      <c r="C6" s="526"/>
      <c r="D6" s="541"/>
      <c r="E6" s="541"/>
      <c r="F6" s="541"/>
      <c r="G6" s="541"/>
      <c r="H6" s="541"/>
      <c r="I6" s="541"/>
      <c r="J6" s="671"/>
      <c r="K6" s="657"/>
      <c r="L6" s="672">
        <f t="shared" si="0"/>
        <v>0</v>
      </c>
      <c r="M6" s="669">
        <v>60</v>
      </c>
      <c r="N6" s="668">
        <f t="shared" si="1"/>
        <v>0</v>
      </c>
      <c r="O6" s="670">
        <f t="shared" si="2"/>
        <v>0</v>
      </c>
      <c r="P6" s="224"/>
    </row>
    <row r="7" spans="1:16" ht="12.75" hidden="1" customHeight="1">
      <c r="A7" s="447"/>
      <c r="B7" s="438"/>
      <c r="C7" s="527"/>
      <c r="D7" s="542"/>
      <c r="E7" s="542"/>
      <c r="F7" s="542"/>
      <c r="G7" s="542"/>
      <c r="H7" s="542"/>
      <c r="I7" s="542"/>
      <c r="J7" s="673"/>
      <c r="K7" s="656"/>
      <c r="L7" s="672">
        <f t="shared" si="0"/>
        <v>0</v>
      </c>
      <c r="M7" s="669">
        <v>60</v>
      </c>
      <c r="N7" s="668">
        <f t="shared" si="1"/>
        <v>0</v>
      </c>
      <c r="O7" s="670">
        <f t="shared" si="2"/>
        <v>0</v>
      </c>
      <c r="P7" s="224"/>
    </row>
    <row r="8" spans="1:16" ht="12.75" customHeight="1">
      <c r="A8" s="226">
        <v>2</v>
      </c>
      <c r="B8" s="199" t="s">
        <v>373</v>
      </c>
      <c r="C8" s="193" t="s">
        <v>302</v>
      </c>
      <c r="D8" s="227">
        <v>2</v>
      </c>
      <c r="E8" s="228">
        <v>3</v>
      </c>
      <c r="F8" s="227">
        <v>2</v>
      </c>
      <c r="G8" s="228">
        <v>2</v>
      </c>
      <c r="H8" s="227">
        <v>3</v>
      </c>
      <c r="I8" s="229">
        <v>3</v>
      </c>
      <c r="J8" s="674">
        <f>SUM(D8:I8)</f>
        <v>15</v>
      </c>
      <c r="K8" s="702"/>
      <c r="L8" s="668">
        <f t="shared" si="0"/>
        <v>0</v>
      </c>
      <c r="M8" s="669">
        <v>60</v>
      </c>
      <c r="N8" s="668">
        <f t="shared" si="1"/>
        <v>0</v>
      </c>
      <c r="O8" s="670">
        <f t="shared" si="2"/>
        <v>0</v>
      </c>
      <c r="P8" s="224"/>
    </row>
    <row r="9" spans="1:16" ht="12.75" hidden="1" customHeight="1">
      <c r="A9" s="225"/>
      <c r="B9" s="199"/>
      <c r="C9" s="193"/>
      <c r="D9" s="230"/>
      <c r="E9" s="231"/>
      <c r="F9" s="230"/>
      <c r="G9" s="231"/>
      <c r="H9" s="230"/>
      <c r="I9" s="232"/>
      <c r="J9" s="675"/>
      <c r="K9" s="702"/>
      <c r="L9" s="668">
        <f t="shared" si="0"/>
        <v>0</v>
      </c>
      <c r="M9" s="669">
        <v>60</v>
      </c>
      <c r="N9" s="668">
        <f t="shared" si="1"/>
        <v>0</v>
      </c>
      <c r="O9" s="670">
        <f t="shared" si="2"/>
        <v>0</v>
      </c>
      <c r="P9" s="224"/>
    </row>
    <row r="10" spans="1:16" ht="88.5" customHeight="1">
      <c r="A10" s="544">
        <v>3</v>
      </c>
      <c r="B10" s="529" t="s">
        <v>374</v>
      </c>
      <c r="C10" s="530" t="s">
        <v>302</v>
      </c>
      <c r="D10" s="551">
        <v>35</v>
      </c>
      <c r="E10" s="550">
        <v>75</v>
      </c>
      <c r="F10" s="551">
        <v>50</v>
      </c>
      <c r="G10" s="550">
        <v>70</v>
      </c>
      <c r="H10" s="551">
        <v>32</v>
      </c>
      <c r="I10" s="550">
        <v>50</v>
      </c>
      <c r="J10" s="667">
        <f>SUM(D10:I10)</f>
        <v>312</v>
      </c>
      <c r="K10" s="701"/>
      <c r="L10" s="668">
        <f t="shared" si="0"/>
        <v>0</v>
      </c>
      <c r="M10" s="669">
        <v>60</v>
      </c>
      <c r="N10" s="668">
        <f t="shared" si="1"/>
        <v>0</v>
      </c>
      <c r="O10" s="670">
        <f t="shared" si="2"/>
        <v>0</v>
      </c>
      <c r="P10" s="224"/>
    </row>
    <row r="11" spans="1:16" ht="12.75" hidden="1" customHeight="1">
      <c r="A11" s="444"/>
      <c r="B11" s="437"/>
      <c r="C11" s="526"/>
      <c r="D11" s="541"/>
      <c r="E11" s="541"/>
      <c r="F11" s="541"/>
      <c r="G11" s="541"/>
      <c r="H11" s="541"/>
      <c r="I11" s="541"/>
      <c r="J11" s="671"/>
      <c r="K11" s="657"/>
      <c r="L11" s="672">
        <f t="shared" si="0"/>
        <v>0</v>
      </c>
      <c r="M11" s="669">
        <v>60</v>
      </c>
      <c r="N11" s="668">
        <f t="shared" si="1"/>
        <v>0</v>
      </c>
      <c r="O11" s="670">
        <f t="shared" si="2"/>
        <v>0</v>
      </c>
      <c r="P11" s="224"/>
    </row>
    <row r="12" spans="1:16" ht="12.75" hidden="1" customHeight="1">
      <c r="A12" s="444"/>
      <c r="B12" s="437"/>
      <c r="C12" s="526"/>
      <c r="D12" s="541"/>
      <c r="E12" s="541"/>
      <c r="F12" s="541"/>
      <c r="G12" s="541"/>
      <c r="H12" s="541"/>
      <c r="I12" s="541"/>
      <c r="J12" s="671"/>
      <c r="K12" s="657"/>
      <c r="L12" s="672">
        <f t="shared" si="0"/>
        <v>0</v>
      </c>
      <c r="M12" s="669">
        <v>60</v>
      </c>
      <c r="N12" s="668">
        <f t="shared" si="1"/>
        <v>0</v>
      </c>
      <c r="O12" s="670">
        <f t="shared" si="2"/>
        <v>0</v>
      </c>
      <c r="P12" s="224"/>
    </row>
    <row r="13" spans="1:16" ht="12.75" hidden="1" customHeight="1">
      <c r="A13" s="444"/>
      <c r="B13" s="437"/>
      <c r="C13" s="526"/>
      <c r="D13" s="541"/>
      <c r="E13" s="541"/>
      <c r="F13" s="541"/>
      <c r="G13" s="541"/>
      <c r="H13" s="541"/>
      <c r="I13" s="541"/>
      <c r="J13" s="671"/>
      <c r="K13" s="657"/>
      <c r="L13" s="672">
        <f t="shared" si="0"/>
        <v>0</v>
      </c>
      <c r="M13" s="669">
        <v>60</v>
      </c>
      <c r="N13" s="668">
        <f t="shared" si="1"/>
        <v>0</v>
      </c>
      <c r="O13" s="670">
        <f t="shared" si="2"/>
        <v>0</v>
      </c>
      <c r="P13" s="224"/>
    </row>
    <row r="14" spans="1:16" ht="12.75" hidden="1" customHeight="1">
      <c r="A14" s="444"/>
      <c r="B14" s="437"/>
      <c r="C14" s="526"/>
      <c r="D14" s="541"/>
      <c r="E14" s="541"/>
      <c r="F14" s="541"/>
      <c r="G14" s="541"/>
      <c r="H14" s="541"/>
      <c r="I14" s="541"/>
      <c r="J14" s="671"/>
      <c r="K14" s="657"/>
      <c r="L14" s="672">
        <f t="shared" si="0"/>
        <v>0</v>
      </c>
      <c r="M14" s="669">
        <v>60</v>
      </c>
      <c r="N14" s="668">
        <f t="shared" si="1"/>
        <v>0</v>
      </c>
      <c r="O14" s="670">
        <f t="shared" si="2"/>
        <v>0</v>
      </c>
      <c r="P14" s="224"/>
    </row>
    <row r="15" spans="1:16" ht="12.75" hidden="1" customHeight="1">
      <c r="A15" s="447"/>
      <c r="B15" s="438"/>
      <c r="C15" s="527"/>
      <c r="D15" s="542"/>
      <c r="E15" s="542"/>
      <c r="F15" s="542"/>
      <c r="G15" s="542"/>
      <c r="H15" s="542"/>
      <c r="I15" s="542"/>
      <c r="J15" s="673"/>
      <c r="K15" s="656"/>
      <c r="L15" s="672">
        <f t="shared" si="0"/>
        <v>0</v>
      </c>
      <c r="M15" s="669">
        <v>60</v>
      </c>
      <c r="N15" s="668">
        <f t="shared" si="1"/>
        <v>0</v>
      </c>
      <c r="O15" s="670">
        <f t="shared" si="2"/>
        <v>0</v>
      </c>
      <c r="P15" s="224"/>
    </row>
    <row r="16" spans="1:16" ht="96.75" customHeight="1">
      <c r="A16" s="544">
        <v>4</v>
      </c>
      <c r="B16" s="529" t="s">
        <v>375</v>
      </c>
      <c r="C16" s="530" t="s">
        <v>302</v>
      </c>
      <c r="D16" s="540">
        <v>35</v>
      </c>
      <c r="E16" s="543">
        <v>75</v>
      </c>
      <c r="F16" s="540">
        <v>40</v>
      </c>
      <c r="G16" s="543">
        <v>40</v>
      </c>
      <c r="H16" s="540">
        <v>22</v>
      </c>
      <c r="I16" s="543">
        <v>50</v>
      </c>
      <c r="J16" s="667">
        <f>SUM(D16:I16)</f>
        <v>262</v>
      </c>
      <c r="K16" s="701"/>
      <c r="L16" s="668">
        <f t="shared" si="0"/>
        <v>0</v>
      </c>
      <c r="M16" s="669">
        <v>60</v>
      </c>
      <c r="N16" s="668">
        <f t="shared" si="1"/>
        <v>0</v>
      </c>
      <c r="O16" s="670">
        <f t="shared" si="2"/>
        <v>0</v>
      </c>
      <c r="P16" s="224"/>
    </row>
    <row r="17" spans="1:16" ht="12.75" hidden="1" customHeight="1">
      <c r="A17" s="444"/>
      <c r="B17" s="437"/>
      <c r="C17" s="526"/>
      <c r="D17" s="541"/>
      <c r="E17" s="541"/>
      <c r="F17" s="541"/>
      <c r="G17" s="541"/>
      <c r="H17" s="541"/>
      <c r="I17" s="541"/>
      <c r="J17" s="671"/>
      <c r="K17" s="657"/>
      <c r="L17" s="672">
        <f t="shared" si="0"/>
        <v>0</v>
      </c>
      <c r="M17" s="669">
        <v>60</v>
      </c>
      <c r="N17" s="668">
        <f t="shared" si="1"/>
        <v>0</v>
      </c>
      <c r="O17" s="670">
        <f t="shared" si="2"/>
        <v>0</v>
      </c>
      <c r="P17" s="224"/>
    </row>
    <row r="18" spans="1:16" ht="12.75" hidden="1" customHeight="1">
      <c r="A18" s="444"/>
      <c r="B18" s="437"/>
      <c r="C18" s="526"/>
      <c r="D18" s="541"/>
      <c r="E18" s="541"/>
      <c r="F18" s="541"/>
      <c r="G18" s="541"/>
      <c r="H18" s="541"/>
      <c r="I18" s="541"/>
      <c r="J18" s="671"/>
      <c r="K18" s="657"/>
      <c r="L18" s="672">
        <f t="shared" si="0"/>
        <v>0</v>
      </c>
      <c r="M18" s="669">
        <v>60</v>
      </c>
      <c r="N18" s="668">
        <f t="shared" si="1"/>
        <v>0</v>
      </c>
      <c r="O18" s="670">
        <f t="shared" si="2"/>
        <v>0</v>
      </c>
      <c r="P18" s="224"/>
    </row>
    <row r="19" spans="1:16" ht="12.75" hidden="1" customHeight="1">
      <c r="A19" s="444"/>
      <c r="B19" s="437"/>
      <c r="C19" s="526"/>
      <c r="D19" s="541"/>
      <c r="E19" s="541"/>
      <c r="F19" s="541"/>
      <c r="G19" s="541"/>
      <c r="H19" s="541"/>
      <c r="I19" s="541"/>
      <c r="J19" s="671"/>
      <c r="K19" s="657"/>
      <c r="L19" s="672">
        <f t="shared" si="0"/>
        <v>0</v>
      </c>
      <c r="M19" s="669">
        <v>60</v>
      </c>
      <c r="N19" s="668">
        <f t="shared" si="1"/>
        <v>0</v>
      </c>
      <c r="O19" s="670">
        <f t="shared" si="2"/>
        <v>0</v>
      </c>
      <c r="P19" s="224"/>
    </row>
    <row r="20" spans="1:16" ht="12.75" hidden="1" customHeight="1">
      <c r="A20" s="444"/>
      <c r="B20" s="437"/>
      <c r="C20" s="526"/>
      <c r="D20" s="541"/>
      <c r="E20" s="541"/>
      <c r="F20" s="541"/>
      <c r="G20" s="541"/>
      <c r="H20" s="541"/>
      <c r="I20" s="541"/>
      <c r="J20" s="671"/>
      <c r="K20" s="657"/>
      <c r="L20" s="672">
        <f t="shared" si="0"/>
        <v>0</v>
      </c>
      <c r="M20" s="669">
        <v>60</v>
      </c>
      <c r="N20" s="668">
        <f t="shared" si="1"/>
        <v>0</v>
      </c>
      <c r="O20" s="670">
        <f t="shared" si="2"/>
        <v>0</v>
      </c>
      <c r="P20" s="224"/>
    </row>
    <row r="21" spans="1:16" ht="12.75" hidden="1" customHeight="1">
      <c r="A21" s="447"/>
      <c r="B21" s="438"/>
      <c r="C21" s="527"/>
      <c r="D21" s="542"/>
      <c r="E21" s="542"/>
      <c r="F21" s="542"/>
      <c r="G21" s="542"/>
      <c r="H21" s="542"/>
      <c r="I21" s="542"/>
      <c r="J21" s="673"/>
      <c r="K21" s="656"/>
      <c r="L21" s="672">
        <f t="shared" si="0"/>
        <v>0</v>
      </c>
      <c r="M21" s="669">
        <v>60</v>
      </c>
      <c r="N21" s="668">
        <f t="shared" si="1"/>
        <v>0</v>
      </c>
      <c r="O21" s="670">
        <f t="shared" si="2"/>
        <v>0</v>
      </c>
      <c r="P21" s="224"/>
    </row>
    <row r="22" spans="1:16" ht="91.5" customHeight="1">
      <c r="A22" s="544">
        <v>5</v>
      </c>
      <c r="B22" s="531" t="s">
        <v>376</v>
      </c>
      <c r="C22" s="532" t="s">
        <v>302</v>
      </c>
      <c r="D22" s="540">
        <v>35</v>
      </c>
      <c r="E22" s="543">
        <v>75</v>
      </c>
      <c r="F22" s="540">
        <v>50</v>
      </c>
      <c r="G22" s="543">
        <v>40</v>
      </c>
      <c r="H22" s="540">
        <v>30</v>
      </c>
      <c r="I22" s="543">
        <v>50</v>
      </c>
      <c r="J22" s="675">
        <f>SUM(D22:I22)</f>
        <v>280</v>
      </c>
      <c r="K22" s="701"/>
      <c r="L22" s="668">
        <f t="shared" si="0"/>
        <v>0</v>
      </c>
      <c r="M22" s="669">
        <v>60</v>
      </c>
      <c r="N22" s="668">
        <f t="shared" si="1"/>
        <v>0</v>
      </c>
      <c r="O22" s="670">
        <f t="shared" si="2"/>
        <v>0</v>
      </c>
      <c r="P22" s="224"/>
    </row>
    <row r="23" spans="1:16" ht="12.75" hidden="1" customHeight="1">
      <c r="A23" s="444"/>
      <c r="B23" s="437"/>
      <c r="C23" s="526"/>
      <c r="D23" s="541"/>
      <c r="E23" s="541"/>
      <c r="F23" s="541"/>
      <c r="G23" s="541"/>
      <c r="H23" s="541"/>
      <c r="I23" s="541"/>
      <c r="J23" s="675"/>
      <c r="K23" s="657"/>
      <c r="L23" s="672">
        <f t="shared" si="0"/>
        <v>0</v>
      </c>
      <c r="M23" s="669">
        <v>60</v>
      </c>
      <c r="N23" s="668">
        <f t="shared" si="1"/>
        <v>0</v>
      </c>
      <c r="O23" s="670">
        <f t="shared" si="2"/>
        <v>0</v>
      </c>
      <c r="P23" s="224"/>
    </row>
    <row r="24" spans="1:16" ht="12.75" hidden="1" customHeight="1">
      <c r="A24" s="444"/>
      <c r="B24" s="437"/>
      <c r="C24" s="526"/>
      <c r="D24" s="541"/>
      <c r="E24" s="541"/>
      <c r="F24" s="541"/>
      <c r="G24" s="541"/>
      <c r="H24" s="541"/>
      <c r="I24" s="541"/>
      <c r="J24" s="675"/>
      <c r="K24" s="657"/>
      <c r="L24" s="672">
        <f t="shared" si="0"/>
        <v>0</v>
      </c>
      <c r="M24" s="669">
        <v>60</v>
      </c>
      <c r="N24" s="668">
        <f t="shared" si="1"/>
        <v>0</v>
      </c>
      <c r="O24" s="670">
        <f t="shared" si="2"/>
        <v>0</v>
      </c>
      <c r="P24" s="224"/>
    </row>
    <row r="25" spans="1:16" ht="12.75" hidden="1" customHeight="1">
      <c r="A25" s="444"/>
      <c r="B25" s="437"/>
      <c r="C25" s="526"/>
      <c r="D25" s="541"/>
      <c r="E25" s="541"/>
      <c r="F25" s="541"/>
      <c r="G25" s="541"/>
      <c r="H25" s="541"/>
      <c r="I25" s="541"/>
      <c r="J25" s="675"/>
      <c r="K25" s="657"/>
      <c r="L25" s="672">
        <f t="shared" si="0"/>
        <v>0</v>
      </c>
      <c r="M25" s="669">
        <v>60</v>
      </c>
      <c r="N25" s="668">
        <f t="shared" si="1"/>
        <v>0</v>
      </c>
      <c r="O25" s="670">
        <f t="shared" si="2"/>
        <v>0</v>
      </c>
      <c r="P25" s="224"/>
    </row>
    <row r="26" spans="1:16" ht="12.75" hidden="1" customHeight="1">
      <c r="A26" s="447"/>
      <c r="B26" s="438"/>
      <c r="C26" s="527"/>
      <c r="D26" s="542"/>
      <c r="E26" s="542"/>
      <c r="F26" s="542"/>
      <c r="G26" s="542"/>
      <c r="H26" s="542"/>
      <c r="I26" s="542"/>
      <c r="J26" s="675"/>
      <c r="K26" s="656"/>
      <c r="L26" s="672">
        <f t="shared" si="0"/>
        <v>0</v>
      </c>
      <c r="M26" s="669">
        <v>60</v>
      </c>
      <c r="N26" s="668">
        <f t="shared" si="1"/>
        <v>0</v>
      </c>
      <c r="O26" s="670">
        <f t="shared" si="2"/>
        <v>0</v>
      </c>
      <c r="P26" s="224"/>
    </row>
    <row r="27" spans="1:16" ht="12.75" customHeight="1">
      <c r="A27" s="545">
        <v>6</v>
      </c>
      <c r="B27" s="197" t="s">
        <v>377</v>
      </c>
      <c r="C27" s="533" t="s">
        <v>302</v>
      </c>
      <c r="D27" s="540">
        <v>5</v>
      </c>
      <c r="E27" s="543">
        <v>5</v>
      </c>
      <c r="F27" s="540">
        <v>2</v>
      </c>
      <c r="G27" s="543">
        <v>3</v>
      </c>
      <c r="H27" s="540">
        <v>3</v>
      </c>
      <c r="I27" s="543">
        <v>3</v>
      </c>
      <c r="J27" s="667">
        <f>SUM(D27:I34)</f>
        <v>21</v>
      </c>
      <c r="K27" s="701"/>
      <c r="L27" s="676">
        <f t="shared" si="0"/>
        <v>0</v>
      </c>
      <c r="M27" s="677">
        <v>60</v>
      </c>
      <c r="N27" s="676">
        <f t="shared" si="1"/>
        <v>0</v>
      </c>
      <c r="O27" s="678">
        <f t="shared" si="2"/>
        <v>0</v>
      </c>
      <c r="P27" s="224"/>
    </row>
    <row r="28" spans="1:16" ht="12.75" customHeight="1">
      <c r="A28" s="518"/>
      <c r="B28" s="206" t="s">
        <v>378</v>
      </c>
      <c r="C28" s="534"/>
      <c r="D28" s="541"/>
      <c r="E28" s="541"/>
      <c r="F28" s="541"/>
      <c r="G28" s="541"/>
      <c r="H28" s="541"/>
      <c r="I28" s="541"/>
      <c r="J28" s="671"/>
      <c r="K28" s="657"/>
      <c r="L28" s="640"/>
      <c r="M28" s="640"/>
      <c r="N28" s="640"/>
      <c r="O28" s="679"/>
      <c r="P28" s="224"/>
    </row>
    <row r="29" spans="1:16" ht="12.75" customHeight="1">
      <c r="A29" s="518"/>
      <c r="B29" s="206" t="s">
        <v>379</v>
      </c>
      <c r="C29" s="534"/>
      <c r="D29" s="541"/>
      <c r="E29" s="541"/>
      <c r="F29" s="541"/>
      <c r="G29" s="541"/>
      <c r="H29" s="541"/>
      <c r="I29" s="541"/>
      <c r="J29" s="671"/>
      <c r="K29" s="657"/>
      <c r="L29" s="640"/>
      <c r="M29" s="640"/>
      <c r="N29" s="640"/>
      <c r="O29" s="679"/>
      <c r="P29" s="224"/>
    </row>
    <row r="30" spans="1:16" ht="12.75" customHeight="1">
      <c r="A30" s="518"/>
      <c r="B30" s="206" t="s">
        <v>380</v>
      </c>
      <c r="C30" s="534"/>
      <c r="D30" s="541"/>
      <c r="E30" s="541"/>
      <c r="F30" s="541"/>
      <c r="G30" s="541"/>
      <c r="H30" s="541"/>
      <c r="I30" s="541"/>
      <c r="J30" s="671"/>
      <c r="K30" s="657"/>
      <c r="L30" s="640"/>
      <c r="M30" s="640"/>
      <c r="N30" s="640"/>
      <c r="O30" s="679"/>
      <c r="P30" s="224"/>
    </row>
    <row r="31" spans="1:16" ht="12.75" customHeight="1">
      <c r="A31" s="518"/>
      <c r="B31" s="206" t="s">
        <v>381</v>
      </c>
      <c r="C31" s="534"/>
      <c r="D31" s="541"/>
      <c r="E31" s="541"/>
      <c r="F31" s="541"/>
      <c r="G31" s="541"/>
      <c r="H31" s="541"/>
      <c r="I31" s="541"/>
      <c r="J31" s="671"/>
      <c r="K31" s="657"/>
      <c r="L31" s="640"/>
      <c r="M31" s="640"/>
      <c r="N31" s="640"/>
      <c r="O31" s="679"/>
      <c r="P31" s="224"/>
    </row>
    <row r="32" spans="1:16" ht="12.75" customHeight="1">
      <c r="A32" s="518"/>
      <c r="B32" s="206" t="s">
        <v>382</v>
      </c>
      <c r="C32" s="534"/>
      <c r="D32" s="541"/>
      <c r="E32" s="541"/>
      <c r="F32" s="541"/>
      <c r="G32" s="541"/>
      <c r="H32" s="541"/>
      <c r="I32" s="541"/>
      <c r="J32" s="671"/>
      <c r="K32" s="657"/>
      <c r="L32" s="640"/>
      <c r="M32" s="640"/>
      <c r="N32" s="640"/>
      <c r="O32" s="679"/>
      <c r="P32" s="224"/>
    </row>
    <row r="33" spans="1:16" ht="12.75" customHeight="1">
      <c r="A33" s="518"/>
      <c r="B33" s="206" t="s">
        <v>383</v>
      </c>
      <c r="C33" s="534"/>
      <c r="D33" s="541"/>
      <c r="E33" s="541"/>
      <c r="F33" s="541"/>
      <c r="G33" s="541"/>
      <c r="H33" s="541"/>
      <c r="I33" s="541"/>
      <c r="J33" s="671"/>
      <c r="K33" s="657"/>
      <c r="L33" s="640"/>
      <c r="M33" s="640"/>
      <c r="N33" s="640"/>
      <c r="O33" s="679"/>
      <c r="P33" s="224"/>
    </row>
    <row r="34" spans="1:16" ht="12.75" customHeight="1">
      <c r="A34" s="546"/>
      <c r="B34" s="233" t="s">
        <v>384</v>
      </c>
      <c r="C34" s="535"/>
      <c r="D34" s="542"/>
      <c r="E34" s="542"/>
      <c r="F34" s="542"/>
      <c r="G34" s="542"/>
      <c r="H34" s="542"/>
      <c r="I34" s="542"/>
      <c r="J34" s="673"/>
      <c r="K34" s="656"/>
      <c r="L34" s="636"/>
      <c r="M34" s="636"/>
      <c r="N34" s="636"/>
      <c r="O34" s="680"/>
      <c r="P34" s="224"/>
    </row>
    <row r="35" spans="1:16" ht="119.25" customHeight="1">
      <c r="A35" s="544">
        <v>7</v>
      </c>
      <c r="B35" s="538" t="s">
        <v>385</v>
      </c>
      <c r="C35" s="530" t="s">
        <v>302</v>
      </c>
      <c r="D35" s="540">
        <v>1</v>
      </c>
      <c r="E35" s="543">
        <v>1</v>
      </c>
      <c r="F35" s="540">
        <v>1</v>
      </c>
      <c r="G35" s="543">
        <v>1</v>
      </c>
      <c r="H35" s="540">
        <v>1</v>
      </c>
      <c r="I35" s="543">
        <v>1</v>
      </c>
      <c r="J35" s="681">
        <f>SUM(D35:I42)</f>
        <v>6</v>
      </c>
      <c r="K35" s="701"/>
      <c r="L35" s="668">
        <f t="shared" ref="L35:L46" si="3">J35*K35</f>
        <v>0</v>
      </c>
      <c r="M35" s="669">
        <v>60</v>
      </c>
      <c r="N35" s="668">
        <f t="shared" ref="N35:N46" si="4">(L35/M35)</f>
        <v>0</v>
      </c>
      <c r="O35" s="670">
        <f t="shared" ref="O35:O46" si="5">N35*12</f>
        <v>0</v>
      </c>
      <c r="P35" s="224"/>
    </row>
    <row r="36" spans="1:16" ht="12.75" hidden="1" customHeight="1">
      <c r="A36" s="444"/>
      <c r="B36" s="437"/>
      <c r="C36" s="526"/>
      <c r="D36" s="541"/>
      <c r="E36" s="541"/>
      <c r="F36" s="541"/>
      <c r="G36" s="541"/>
      <c r="H36" s="541"/>
      <c r="I36" s="541"/>
      <c r="J36" s="671"/>
      <c r="K36" s="657"/>
      <c r="L36" s="672">
        <f t="shared" si="3"/>
        <v>0</v>
      </c>
      <c r="M36" s="669">
        <v>60</v>
      </c>
      <c r="N36" s="668">
        <f t="shared" si="4"/>
        <v>0</v>
      </c>
      <c r="O36" s="670">
        <f t="shared" si="5"/>
        <v>0</v>
      </c>
      <c r="P36" s="224"/>
    </row>
    <row r="37" spans="1:16" ht="8.25" hidden="1" customHeight="1">
      <c r="A37" s="444"/>
      <c r="B37" s="437"/>
      <c r="C37" s="526"/>
      <c r="D37" s="541"/>
      <c r="E37" s="541"/>
      <c r="F37" s="541"/>
      <c r="G37" s="541"/>
      <c r="H37" s="541"/>
      <c r="I37" s="541"/>
      <c r="J37" s="671"/>
      <c r="K37" s="657"/>
      <c r="L37" s="672">
        <f t="shared" si="3"/>
        <v>0</v>
      </c>
      <c r="M37" s="669">
        <v>60</v>
      </c>
      <c r="N37" s="668">
        <f t="shared" si="4"/>
        <v>0</v>
      </c>
      <c r="O37" s="670">
        <f t="shared" si="5"/>
        <v>0</v>
      </c>
      <c r="P37" s="224"/>
    </row>
    <row r="38" spans="1:16" ht="12.75" hidden="1" customHeight="1">
      <c r="A38" s="444"/>
      <c r="B38" s="437"/>
      <c r="C38" s="526"/>
      <c r="D38" s="541"/>
      <c r="E38" s="541"/>
      <c r="F38" s="541"/>
      <c r="G38" s="541"/>
      <c r="H38" s="541"/>
      <c r="I38" s="541"/>
      <c r="J38" s="671"/>
      <c r="K38" s="657"/>
      <c r="L38" s="672">
        <f t="shared" si="3"/>
        <v>0</v>
      </c>
      <c r="M38" s="669">
        <v>60</v>
      </c>
      <c r="N38" s="668">
        <f t="shared" si="4"/>
        <v>0</v>
      </c>
      <c r="O38" s="670">
        <f t="shared" si="5"/>
        <v>0</v>
      </c>
      <c r="P38" s="224"/>
    </row>
    <row r="39" spans="1:16" ht="12.75" hidden="1" customHeight="1">
      <c r="A39" s="444"/>
      <c r="B39" s="437"/>
      <c r="C39" s="526"/>
      <c r="D39" s="541"/>
      <c r="E39" s="541"/>
      <c r="F39" s="541"/>
      <c r="G39" s="541"/>
      <c r="H39" s="541"/>
      <c r="I39" s="541"/>
      <c r="J39" s="671"/>
      <c r="K39" s="657"/>
      <c r="L39" s="672">
        <f t="shared" si="3"/>
        <v>0</v>
      </c>
      <c r="M39" s="669">
        <v>60</v>
      </c>
      <c r="N39" s="668">
        <f t="shared" si="4"/>
        <v>0</v>
      </c>
      <c r="O39" s="670">
        <f t="shared" si="5"/>
        <v>0</v>
      </c>
      <c r="P39" s="224"/>
    </row>
    <row r="40" spans="1:16" ht="12.75" hidden="1" customHeight="1">
      <c r="A40" s="444"/>
      <c r="B40" s="437"/>
      <c r="C40" s="526"/>
      <c r="D40" s="541"/>
      <c r="E40" s="541"/>
      <c r="F40" s="541"/>
      <c r="G40" s="541"/>
      <c r="H40" s="541"/>
      <c r="I40" s="541"/>
      <c r="J40" s="671"/>
      <c r="K40" s="657"/>
      <c r="L40" s="672">
        <f t="shared" si="3"/>
        <v>0</v>
      </c>
      <c r="M40" s="669">
        <v>60</v>
      </c>
      <c r="N40" s="668">
        <f t="shared" si="4"/>
        <v>0</v>
      </c>
      <c r="O40" s="670">
        <f t="shared" si="5"/>
        <v>0</v>
      </c>
      <c r="P40" s="224"/>
    </row>
    <row r="41" spans="1:16" ht="12.75" hidden="1" customHeight="1">
      <c r="A41" s="444"/>
      <c r="B41" s="437"/>
      <c r="C41" s="526"/>
      <c r="D41" s="541"/>
      <c r="E41" s="541"/>
      <c r="F41" s="541"/>
      <c r="G41" s="541"/>
      <c r="H41" s="541"/>
      <c r="I41" s="541"/>
      <c r="J41" s="671"/>
      <c r="K41" s="657"/>
      <c r="L41" s="672">
        <f t="shared" si="3"/>
        <v>0</v>
      </c>
      <c r="M41" s="669">
        <v>60</v>
      </c>
      <c r="N41" s="668">
        <f t="shared" si="4"/>
        <v>0</v>
      </c>
      <c r="O41" s="670">
        <f t="shared" si="5"/>
        <v>0</v>
      </c>
      <c r="P41" s="224"/>
    </row>
    <row r="42" spans="1:16" ht="93.75" hidden="1" customHeight="1">
      <c r="A42" s="447"/>
      <c r="B42" s="438"/>
      <c r="C42" s="527"/>
      <c r="D42" s="542"/>
      <c r="E42" s="542"/>
      <c r="F42" s="542"/>
      <c r="G42" s="542"/>
      <c r="H42" s="542"/>
      <c r="I42" s="542"/>
      <c r="J42" s="673"/>
      <c r="K42" s="656"/>
      <c r="L42" s="672">
        <f t="shared" si="3"/>
        <v>0</v>
      </c>
      <c r="M42" s="669">
        <v>60</v>
      </c>
      <c r="N42" s="668">
        <f t="shared" si="4"/>
        <v>0</v>
      </c>
      <c r="O42" s="670">
        <f t="shared" si="5"/>
        <v>0</v>
      </c>
      <c r="P42" s="224"/>
    </row>
    <row r="43" spans="1:16" ht="12.75" customHeight="1">
      <c r="A43" s="234">
        <v>8</v>
      </c>
      <c r="B43" s="235" t="s">
        <v>386</v>
      </c>
      <c r="C43" s="236" t="s">
        <v>302</v>
      </c>
      <c r="D43" s="237">
        <v>2</v>
      </c>
      <c r="E43" s="238">
        <v>2</v>
      </c>
      <c r="F43" s="237">
        <v>2</v>
      </c>
      <c r="G43" s="238">
        <v>2</v>
      </c>
      <c r="H43" s="237">
        <v>3</v>
      </c>
      <c r="I43" s="238">
        <v>2</v>
      </c>
      <c r="J43" s="682">
        <f t="shared" ref="J43:J46" si="6">SUM(D43:I43)</f>
        <v>13</v>
      </c>
      <c r="K43" s="660"/>
      <c r="L43" s="668">
        <f t="shared" si="3"/>
        <v>0</v>
      </c>
      <c r="M43" s="669">
        <v>60</v>
      </c>
      <c r="N43" s="668">
        <f t="shared" si="4"/>
        <v>0</v>
      </c>
      <c r="O43" s="670">
        <f t="shared" si="5"/>
        <v>0</v>
      </c>
      <c r="P43" s="224"/>
    </row>
    <row r="44" spans="1:16" ht="12.75" customHeight="1">
      <c r="A44" s="234">
        <v>9</v>
      </c>
      <c r="B44" s="239" t="s">
        <v>387</v>
      </c>
      <c r="C44" s="236" t="s">
        <v>302</v>
      </c>
      <c r="D44" s="237">
        <v>1</v>
      </c>
      <c r="E44" s="238">
        <v>1</v>
      </c>
      <c r="F44" s="237">
        <v>1</v>
      </c>
      <c r="G44" s="238">
        <v>1</v>
      </c>
      <c r="H44" s="237">
        <v>1</v>
      </c>
      <c r="I44" s="238">
        <v>1</v>
      </c>
      <c r="J44" s="682">
        <f t="shared" si="6"/>
        <v>6</v>
      </c>
      <c r="K44" s="660"/>
      <c r="L44" s="668">
        <f t="shared" si="3"/>
        <v>0</v>
      </c>
      <c r="M44" s="669">
        <v>60</v>
      </c>
      <c r="N44" s="668">
        <f t="shared" si="4"/>
        <v>0</v>
      </c>
      <c r="O44" s="670">
        <f t="shared" si="5"/>
        <v>0</v>
      </c>
      <c r="P44" s="224"/>
    </row>
    <row r="45" spans="1:16" ht="12.75" customHeight="1">
      <c r="A45" s="234">
        <v>10</v>
      </c>
      <c r="B45" s="239" t="s">
        <v>388</v>
      </c>
      <c r="C45" s="236" t="s">
        <v>302</v>
      </c>
      <c r="D45" s="237">
        <v>1</v>
      </c>
      <c r="E45" s="238">
        <v>1</v>
      </c>
      <c r="F45" s="237">
        <v>1</v>
      </c>
      <c r="G45" s="238">
        <v>1</v>
      </c>
      <c r="H45" s="237">
        <v>1</v>
      </c>
      <c r="I45" s="238">
        <v>1</v>
      </c>
      <c r="J45" s="682">
        <f t="shared" si="6"/>
        <v>6</v>
      </c>
      <c r="K45" s="660"/>
      <c r="L45" s="668">
        <f t="shared" si="3"/>
        <v>0</v>
      </c>
      <c r="M45" s="669">
        <v>60</v>
      </c>
      <c r="N45" s="668">
        <f t="shared" si="4"/>
        <v>0</v>
      </c>
      <c r="O45" s="670">
        <f t="shared" si="5"/>
        <v>0</v>
      </c>
      <c r="P45" s="224"/>
    </row>
    <row r="46" spans="1:16" ht="39" customHeight="1">
      <c r="A46" s="234">
        <v>11</v>
      </c>
      <c r="B46" s="239" t="s">
        <v>389</v>
      </c>
      <c r="C46" s="236" t="s">
        <v>302</v>
      </c>
      <c r="D46" s="237">
        <v>1</v>
      </c>
      <c r="E46" s="238">
        <v>5</v>
      </c>
      <c r="F46" s="237">
        <v>2</v>
      </c>
      <c r="G46" s="238">
        <v>4</v>
      </c>
      <c r="H46" s="237">
        <v>1</v>
      </c>
      <c r="I46" s="238">
        <v>1</v>
      </c>
      <c r="J46" s="682">
        <f t="shared" si="6"/>
        <v>14</v>
      </c>
      <c r="K46" s="660"/>
      <c r="L46" s="668">
        <f t="shared" si="3"/>
        <v>0</v>
      </c>
      <c r="M46" s="669">
        <v>60</v>
      </c>
      <c r="N46" s="668">
        <f t="shared" si="4"/>
        <v>0</v>
      </c>
      <c r="O46" s="670">
        <f t="shared" si="5"/>
        <v>0</v>
      </c>
      <c r="P46" s="224"/>
    </row>
    <row r="47" spans="1:16" ht="12.75" customHeight="1">
      <c r="A47" s="683" t="s">
        <v>390</v>
      </c>
      <c r="B47" s="684"/>
      <c r="C47" s="685"/>
      <c r="D47" s="686"/>
      <c r="E47" s="687"/>
      <c r="F47" s="687"/>
      <c r="G47" s="687"/>
      <c r="H47" s="687"/>
      <c r="I47" s="687"/>
      <c r="J47" s="687"/>
      <c r="K47" s="688"/>
      <c r="L47" s="689">
        <f>SUM(L4:L46)</f>
        <v>0</v>
      </c>
      <c r="M47" s="690"/>
      <c r="N47" s="691">
        <f t="shared" ref="N47:O47" si="7">SUM(N4:N46)</f>
        <v>0</v>
      </c>
      <c r="O47" s="692">
        <f t="shared" si="7"/>
        <v>0</v>
      </c>
      <c r="P47" s="224"/>
    </row>
    <row r="48" spans="1:16" ht="12.75" customHeight="1">
      <c r="A48" s="693" t="s">
        <v>361</v>
      </c>
      <c r="B48" s="694"/>
      <c r="C48" s="695">
        <f>'Resumo dos valores'!G27</f>
        <v>48</v>
      </c>
      <c r="D48" s="696"/>
      <c r="E48" s="697"/>
      <c r="F48" s="697"/>
      <c r="G48" s="697"/>
      <c r="H48" s="697"/>
      <c r="I48" s="697"/>
      <c r="J48" s="697"/>
      <c r="K48" s="697"/>
      <c r="L48" s="697"/>
      <c r="M48" s="698"/>
      <c r="N48" s="699">
        <f>N47/C48</f>
        <v>0</v>
      </c>
      <c r="O48" s="700">
        <f>O47/C48</f>
        <v>0</v>
      </c>
      <c r="P48" s="224"/>
    </row>
    <row r="49" spans="1:16" ht="12.75" customHeight="1">
      <c r="A49" s="224"/>
      <c r="B49" s="224"/>
      <c r="C49" s="224"/>
      <c r="D49" s="224"/>
      <c r="E49" s="224"/>
      <c r="F49" s="224"/>
      <c r="G49" s="224"/>
      <c r="H49" s="224"/>
      <c r="I49" s="224"/>
      <c r="J49" s="224"/>
      <c r="K49" s="240"/>
      <c r="L49" s="240"/>
      <c r="M49" s="224"/>
      <c r="N49" s="224"/>
      <c r="O49" s="224"/>
      <c r="P49" s="224"/>
    </row>
  </sheetData>
  <mergeCells count="78">
    <mergeCell ref="H16:H21"/>
    <mergeCell ref="I16:I21"/>
    <mergeCell ref="J16:J21"/>
    <mergeCell ref="K16:K21"/>
    <mergeCell ref="A16:A21"/>
    <mergeCell ref="B16:B21"/>
    <mergeCell ref="C16:C21"/>
    <mergeCell ref="D16:D21"/>
    <mergeCell ref="E16:E21"/>
    <mergeCell ref="F16:F21"/>
    <mergeCell ref="G16:G21"/>
    <mergeCell ref="K10:K15"/>
    <mergeCell ref="A10:A15"/>
    <mergeCell ref="B10:B15"/>
    <mergeCell ref="C10:C15"/>
    <mergeCell ref="D10:D15"/>
    <mergeCell ref="E10:E15"/>
    <mergeCell ref="F10:F15"/>
    <mergeCell ref="G10:G15"/>
    <mergeCell ref="E4:E7"/>
    <mergeCell ref="F4:F7"/>
    <mergeCell ref="H10:H15"/>
    <mergeCell ref="I10:I15"/>
    <mergeCell ref="J10:J15"/>
    <mergeCell ref="A1:A2"/>
    <mergeCell ref="A4:A7"/>
    <mergeCell ref="B4:B7"/>
    <mergeCell ref="C4:C7"/>
    <mergeCell ref="D4:D7"/>
    <mergeCell ref="L1:L2"/>
    <mergeCell ref="N1:O1"/>
    <mergeCell ref="G4:G7"/>
    <mergeCell ref="H4:H7"/>
    <mergeCell ref="I4:I7"/>
    <mergeCell ref="J4:J7"/>
    <mergeCell ref="K4:K7"/>
    <mergeCell ref="B1:B2"/>
    <mergeCell ref="C1:C2"/>
    <mergeCell ref="D1:I1"/>
    <mergeCell ref="J1:J2"/>
    <mergeCell ref="K1:K2"/>
    <mergeCell ref="I35:I42"/>
    <mergeCell ref="J35:J42"/>
    <mergeCell ref="K35:K42"/>
    <mergeCell ref="D27:D34"/>
    <mergeCell ref="E27:E34"/>
    <mergeCell ref="D35:D42"/>
    <mergeCell ref="E35:E42"/>
    <mergeCell ref="F35:F42"/>
    <mergeCell ref="G35:G42"/>
    <mergeCell ref="H35:H42"/>
    <mergeCell ref="A27:A34"/>
    <mergeCell ref="M27:M34"/>
    <mergeCell ref="N27:N34"/>
    <mergeCell ref="O27:O34"/>
    <mergeCell ref="F27:F34"/>
    <mergeCell ref="G27:G34"/>
    <mergeCell ref="H27:H34"/>
    <mergeCell ref="I27:I34"/>
    <mergeCell ref="J27:J34"/>
    <mergeCell ref="K27:K34"/>
    <mergeCell ref="L27:L34"/>
    <mergeCell ref="A22:A26"/>
    <mergeCell ref="B22:B26"/>
    <mergeCell ref="D22:D26"/>
    <mergeCell ref="E22:E26"/>
    <mergeCell ref="F22:F26"/>
    <mergeCell ref="A35:A42"/>
    <mergeCell ref="B35:B42"/>
    <mergeCell ref="C35:C42"/>
    <mergeCell ref="A47:C47"/>
    <mergeCell ref="A48:B48"/>
    <mergeCell ref="H22:H26"/>
    <mergeCell ref="I22:I26"/>
    <mergeCell ref="K22:K26"/>
    <mergeCell ref="C22:C26"/>
    <mergeCell ref="C27:C34"/>
    <mergeCell ref="G22:G26"/>
  </mergeCells>
  <dataValidations count="1">
    <dataValidation type="decimal" allowBlank="1" showDropDown="1" showInputMessage="1" showErrorMessage="1" prompt="Insira um número!" sqref="D3:I4 D8:I8 D10:I10 D16:I16 D22:I22 D27:I27 D35:I35 D43:I46" xr:uid="{00000000-0002-0000-0800-000000000000}">
      <formula1>1</formula1>
      <formula2>1000</formula2>
    </dataValidation>
  </dataValidations>
  <pageMargins left="0.78740157499999996" right="0.78740157499999996" top="0.27228000122235696" bottom="0.39370078740157477" header="0" footer="0"/>
  <pageSetup paperSize="9" fitToHeight="0" orientation="landscape"/>
  <headerFooter>
    <oddHeader>&amp;CANEXO I - I - LISTA DE EQUIPAMENTOS (44h Segunda à Sexta)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17</vt:i4>
      </vt:variant>
    </vt:vector>
  </HeadingPairs>
  <TitlesOfParts>
    <vt:vector size="17" baseType="lpstr">
      <vt:lpstr>Resumo síntetico</vt:lpstr>
      <vt:lpstr>Resumo dos valores</vt:lpstr>
      <vt:lpstr>Valor MensalM²</vt:lpstr>
      <vt:lpstr>Servente</vt:lpstr>
      <vt:lpstr>JAUZEIRO</vt:lpstr>
      <vt:lpstr>UNIFORME</vt:lpstr>
      <vt:lpstr>EQUIPAMENTOS JAUZEIRO</vt:lpstr>
      <vt:lpstr>MATERIAL_LIMPEZA CONSUMO</vt:lpstr>
      <vt:lpstr>MATERIAL_LIMPEZA EQUIPAMENTOS</vt:lpstr>
      <vt:lpstr>MATERIAL_LIMPEZA UTENSÍLIOS</vt:lpstr>
      <vt:lpstr>TOTAL área m² </vt:lpstr>
      <vt:lpstr>A.Reitoria</vt:lpstr>
      <vt:lpstr>A. DGBR</vt:lpstr>
      <vt:lpstr>A. DGCE</vt:lpstr>
      <vt:lpstr>A. DGES</vt:lpstr>
      <vt:lpstr>A. DGRE</vt:lpstr>
      <vt:lpstr>A. DGSS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dc:creator>
  <cp:lastModifiedBy>Francisco</cp:lastModifiedBy>
  <dcterms:created xsi:type="dcterms:W3CDTF">2021-05-27T03:22:44Z</dcterms:created>
  <dcterms:modified xsi:type="dcterms:W3CDTF">2021-05-27T03:42:08Z</dcterms:modified>
</cp:coreProperties>
</file>